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hucks Data\CMD\Helpful Install Notes\Maintenance Manual Spreadsheet\"/>
    </mc:Choice>
  </mc:AlternateContent>
  <bookViews>
    <workbookView xWindow="0" yWindow="0" windowWidth="20484" windowHeight="8376" tabRatio="832"/>
  </bookViews>
  <sheets>
    <sheet name="Entry Tab" sheetId="7" r:id="rId1"/>
    <sheet name="View of Connectors" sheetId="6" r:id="rId2"/>
    <sheet name="TDR-94 94D Pinout" sheetId="8" r:id="rId3"/>
    <sheet name="Aircraft L x W" sheetId="9" r:id="rId4"/>
    <sheet name="Update Log" sheetId="10" r:id="rId5"/>
    <sheet name="Dropdowns" sheetId="1" state="hidden" r:id="rId6"/>
  </sheets>
  <definedNames>
    <definedName name="_xlnm._FilterDatabase" localSheetId="3" hidden="1">'Aircraft L x W'!$A$1:$G$150</definedName>
    <definedName name="_xlnm._FilterDatabase" localSheetId="2" hidden="1">'TDR-94 94D Pinout'!$A$4:$E$124</definedName>
    <definedName name="Aircaft_Category_Type">Dropdowns!$C$57:$C$65</definedName>
    <definedName name="answers" localSheetId="2">'TDR-94 94D Pinout'!$F$193</definedName>
    <definedName name="Antenna_Dual_Single">Dropdowns!$A$101:$A$103</definedName>
    <definedName name="ATS_Dual_Triple">Dropdowns!$A$96:$A$98</definedName>
    <definedName name="Controller_Type">Dropdowns!$A$111:$A$113</definedName>
    <definedName name="Fed_Int">Dropdowns!$A$79:$A$82</definedName>
    <definedName name="GPS_Offset">Dropdowns!$A$26:$A$53</definedName>
    <definedName name="High_Speed">Dropdowns!$A$90:$A$93</definedName>
    <definedName name="Installed_Not">Dropdowns!$A$85:$B$87</definedName>
    <definedName name="Length_Width">Dropdowns!$A$4:$A$22</definedName>
    <definedName name="Max_Airspeed">Dropdowns!$B$68:$B$76</definedName>
    <definedName name="Pinout_Entry_Range1">'TDR-94 94D Pinout'!$D$19,'TDR-94 94D Pinout'!$D$20,'TDR-94 94D Pinout'!$D$23,'TDR-94 94D Pinout'!$D$29,'TDR-94 94D Pinout'!$D$33,'TDR-94 94D Pinout'!$D$35,'TDR-94 94D Pinout'!$D$65,'TDR-94 94D Pinout'!$D$66,'TDR-94 94D Pinout'!$D$67,'TDR-94 94D Pinout'!$D$68,'TDR-94 94D Pinout'!$D$85,'TDR-94 94D Pinout'!$D$86,'TDR-94 94D Pinout'!$D$89,'TDR-94 94D Pinout'!$D$90,'TDR-94 94D Pinout'!$D$101,'TDR-94 94D Pinout'!$D$102,'TDR-94 94D Pinout'!$D$112,'TDR-94 94D Pinout'!$D$119,'TDR-94 94D Pinout'!$D$121,'TDR-94 94D Pinout'!$D$122</definedName>
    <definedName name="SDI">Dropdowns!$A$106:$A$108</definedName>
    <definedName name="Speed">Dropdowns!$A$90:$A$93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8" l="1"/>
  <c r="D10" i="8" l="1"/>
  <c r="E147" i="1"/>
  <c r="E145" i="1" s="1"/>
  <c r="D147" i="1"/>
  <c r="D145" i="1" l="1"/>
  <c r="D57" i="8"/>
  <c r="D13" i="8" l="1"/>
  <c r="D14" i="8"/>
  <c r="D110" i="8"/>
  <c r="D111" i="8"/>
  <c r="D80" i="8" l="1"/>
  <c r="D79" i="8"/>
  <c r="D82" i="8"/>
  <c r="D81" i="8"/>
  <c r="D78" i="8"/>
  <c r="D77" i="8"/>
  <c r="D76" i="8" l="1"/>
  <c r="B16" i="6" s="1"/>
  <c r="D75" i="8"/>
  <c r="C16" i="6" s="1"/>
  <c r="D74" i="8"/>
  <c r="D16" i="6" s="1"/>
  <c r="D73" i="8"/>
  <c r="E16" i="6" s="1"/>
  <c r="E28" i="6"/>
  <c r="D28" i="6"/>
  <c r="C28" i="6"/>
  <c r="E27" i="6"/>
  <c r="D27" i="6"/>
  <c r="C27" i="6"/>
  <c r="E26" i="6"/>
  <c r="D26" i="6"/>
  <c r="B26" i="6"/>
  <c r="D25" i="6"/>
  <c r="C25" i="6"/>
  <c r="B25" i="6"/>
  <c r="E23" i="6"/>
  <c r="D23" i="6"/>
  <c r="E20" i="6"/>
  <c r="D20" i="6"/>
  <c r="E19" i="6"/>
  <c r="D19" i="6"/>
  <c r="E18" i="6"/>
  <c r="D18" i="6"/>
  <c r="C18" i="6"/>
  <c r="B18" i="6"/>
  <c r="E17" i="6"/>
  <c r="D17" i="6"/>
  <c r="C17" i="6"/>
  <c r="B17" i="6"/>
  <c r="E15" i="6"/>
  <c r="D15" i="6"/>
  <c r="C15" i="6"/>
  <c r="B15" i="6"/>
  <c r="E14" i="6"/>
  <c r="D14" i="6"/>
  <c r="C14" i="6"/>
  <c r="B14" i="6"/>
  <c r="I28" i="6"/>
  <c r="H28" i="6"/>
  <c r="G28" i="6"/>
  <c r="J21" i="6"/>
  <c r="I21" i="6"/>
  <c r="H21" i="6"/>
  <c r="G21" i="6"/>
  <c r="J20" i="6"/>
  <c r="H20" i="6"/>
  <c r="H18" i="6"/>
  <c r="H17" i="6"/>
  <c r="G17" i="6"/>
  <c r="J16" i="6"/>
  <c r="I16" i="6"/>
  <c r="H16" i="6"/>
  <c r="G16" i="6"/>
  <c r="H15" i="6"/>
  <c r="G15" i="6"/>
  <c r="D60" i="8" l="1"/>
  <c r="G27" i="6" s="1"/>
  <c r="D59" i="8"/>
  <c r="H27" i="6" s="1"/>
  <c r="D58" i="8"/>
  <c r="I27" i="6" s="1"/>
  <c r="J27" i="6"/>
  <c r="D56" i="8"/>
  <c r="G26" i="6" s="1"/>
  <c r="D55" i="8"/>
  <c r="H26" i="6" s="1"/>
  <c r="D54" i="8"/>
  <c r="I26" i="6" s="1"/>
  <c r="D53" i="8"/>
  <c r="J26" i="6" s="1"/>
  <c r="D52" i="8"/>
  <c r="G25" i="6" s="1"/>
  <c r="D51" i="8"/>
  <c r="H25" i="6" s="1"/>
  <c r="D50" i="8"/>
  <c r="I25" i="6" s="1"/>
  <c r="D49" i="8"/>
  <c r="J25" i="6" s="1"/>
  <c r="D48" i="8"/>
  <c r="G24" i="6" s="1"/>
  <c r="D47" i="8"/>
  <c r="H24" i="6" s="1"/>
  <c r="D46" i="8"/>
  <c r="I24" i="6" s="1"/>
  <c r="D45" i="8"/>
  <c r="J24" i="6" s="1"/>
  <c r="D44" i="8"/>
  <c r="G23" i="6" s="1"/>
  <c r="D43" i="8"/>
  <c r="H23" i="6" s="1"/>
  <c r="D42" i="8"/>
  <c r="I23" i="6" s="1"/>
  <c r="D41" i="8"/>
  <c r="J23" i="6" s="1"/>
  <c r="D40" i="8"/>
  <c r="G22" i="6" s="1"/>
  <c r="D39" i="8"/>
  <c r="H22" i="6" s="1"/>
  <c r="D38" i="8"/>
  <c r="I22" i="6" s="1"/>
  <c r="D37" i="8"/>
  <c r="J22" i="6" s="1"/>
  <c r="B67" i="1" l="1"/>
  <c r="B55" i="1"/>
  <c r="D26" i="8" s="1"/>
  <c r="I19" i="6" s="1"/>
  <c r="B2" i="1"/>
  <c r="D7" i="8" s="1"/>
  <c r="H14" i="6" s="1"/>
  <c r="I15" i="6"/>
  <c r="D8" i="8"/>
  <c r="G14" i="6" s="1"/>
  <c r="D106" i="8"/>
  <c r="D24" i="6" s="1"/>
  <c r="D105" i="8"/>
  <c r="E24" i="6" s="1"/>
  <c r="D103" i="8"/>
  <c r="C23" i="6" s="1"/>
  <c r="D104" i="8"/>
  <c r="B23" i="6" s="1"/>
  <c r="D92" i="8"/>
  <c r="B20" i="6" s="1"/>
  <c r="D91" i="8"/>
  <c r="C20" i="6" s="1"/>
  <c r="D120" i="8"/>
  <c r="B27" i="6" s="1"/>
  <c r="D100" i="8"/>
  <c r="B22" i="6" s="1"/>
  <c r="D99" i="8"/>
  <c r="C22" i="6" s="1"/>
  <c r="D98" i="8"/>
  <c r="D22" i="6" s="1"/>
  <c r="D97" i="8"/>
  <c r="E22" i="6" s="1"/>
  <c r="D93" i="8"/>
  <c r="E21" i="6" s="1"/>
  <c r="D94" i="8"/>
  <c r="D21" i="6" s="1"/>
  <c r="D115" i="8"/>
  <c r="C26" i="6" s="1"/>
  <c r="D30" i="8"/>
  <c r="I20" i="6" s="1"/>
  <c r="D61" i="8"/>
  <c r="J28" i="6" s="1"/>
  <c r="D28" i="8"/>
  <c r="G19" i="6" s="1"/>
  <c r="D22" i="8"/>
  <c r="I18" i="6" s="1"/>
  <c r="D109" i="8" l="1"/>
  <c r="E25" i="6" s="1"/>
  <c r="D108" i="8"/>
  <c r="B24" i="6" s="1"/>
  <c r="D107" i="8"/>
  <c r="C24" i="6" s="1"/>
  <c r="D24" i="8"/>
  <c r="G18" i="6" s="1"/>
  <c r="D25" i="8"/>
  <c r="J19" i="6" s="1"/>
  <c r="D5" i="8"/>
  <c r="J14" i="6" s="1"/>
  <c r="D6" i="8"/>
  <c r="I14" i="6" s="1"/>
  <c r="D96" i="8" l="1"/>
  <c r="B21" i="6" s="1"/>
  <c r="D95" i="8"/>
  <c r="C21" i="6" s="1"/>
  <c r="D88" i="8"/>
  <c r="B19" i="6" s="1"/>
  <c r="D87" i="8"/>
  <c r="C19" i="6" s="1"/>
  <c r="D124" i="8"/>
  <c r="B28" i="6" s="1"/>
  <c r="D32" i="8"/>
  <c r="G20" i="6" s="1"/>
  <c r="D21" i="8"/>
  <c r="J18" i="6" s="1"/>
  <c r="D18" i="8"/>
  <c r="I17" i="6" s="1"/>
  <c r="J17" i="6"/>
  <c r="D9" i="8"/>
  <c r="J15" i="6" s="1"/>
  <c r="D27" i="8" l="1"/>
  <c r="H19" i="6" s="1"/>
</calcChain>
</file>

<file path=xl/comments1.xml><?xml version="1.0" encoding="utf-8"?>
<comments xmlns="http://schemas.openxmlformats.org/spreadsheetml/2006/main">
  <authors>
    <author>cmahoney</author>
  </authors>
  <commentList>
    <comment ref="B4" authorId="0" shapeId="0">
      <text>
        <r>
          <rPr>
            <b/>
            <sz val="9"/>
            <color indexed="81"/>
            <rFont val="Tahoma"/>
            <family val="2"/>
          </rPr>
          <t>cmahoney:</t>
        </r>
        <r>
          <rPr>
            <sz val="9"/>
            <color indexed="81"/>
            <rFont val="Tahoma"/>
            <family val="2"/>
          </rPr>
          <t xml:space="preserve">
This is an ADS-B Out related pin.</t>
        </r>
      </text>
    </comment>
    <comment ref="B5" authorId="0" shapeId="0">
      <text>
        <r>
          <rPr>
            <b/>
            <sz val="9"/>
            <color indexed="81"/>
            <rFont val="Tahoma"/>
            <family val="2"/>
          </rPr>
          <t>cmahoney:</t>
        </r>
        <r>
          <rPr>
            <sz val="9"/>
            <color indexed="81"/>
            <rFont val="Tahoma"/>
            <family val="2"/>
          </rPr>
          <t xml:space="preserve">
This is an ADS-B Out related pin.</t>
        </r>
      </text>
    </comment>
    <comment ref="B6" authorId="0" shapeId="0">
      <text>
        <r>
          <rPr>
            <b/>
            <sz val="9"/>
            <color indexed="81"/>
            <rFont val="Tahoma"/>
            <family val="2"/>
          </rPr>
          <t>cmahoney:</t>
        </r>
        <r>
          <rPr>
            <sz val="9"/>
            <color indexed="81"/>
            <rFont val="Tahoma"/>
            <family val="2"/>
          </rPr>
          <t xml:space="preserve">
This is an ADS-B Out related pin.</t>
        </r>
      </text>
    </comment>
    <comment ref="B7" authorId="0" shapeId="0">
      <text>
        <r>
          <rPr>
            <b/>
            <sz val="9"/>
            <color indexed="81"/>
            <rFont val="Tahoma"/>
            <family val="2"/>
          </rPr>
          <t>cmahoney:</t>
        </r>
        <r>
          <rPr>
            <sz val="9"/>
            <color indexed="81"/>
            <rFont val="Tahoma"/>
            <family val="2"/>
          </rPr>
          <t xml:space="preserve">
This is an ADS-B Out related pin.</t>
        </r>
      </text>
    </comment>
    <comment ref="G14" authorId="0" shapeId="0">
      <text>
        <r>
          <rPr>
            <b/>
            <sz val="9"/>
            <color indexed="81"/>
            <rFont val="Tahoma"/>
            <family val="2"/>
          </rPr>
          <t>cmahoney:</t>
        </r>
        <r>
          <rPr>
            <sz val="9"/>
            <color indexed="81"/>
            <rFont val="Tahoma"/>
            <family val="2"/>
          </rPr>
          <t xml:space="preserve">
This is an ADS-B Out related pin.</t>
        </r>
      </text>
    </comment>
    <comment ref="H14" authorId="0" shapeId="0">
      <text>
        <r>
          <rPr>
            <b/>
            <sz val="9"/>
            <color indexed="81"/>
            <rFont val="Tahoma"/>
            <family val="2"/>
          </rPr>
          <t>cmahoney:</t>
        </r>
        <r>
          <rPr>
            <sz val="9"/>
            <color indexed="81"/>
            <rFont val="Tahoma"/>
            <family val="2"/>
          </rPr>
          <t xml:space="preserve">
This is an ADS-B Out related pin.</t>
        </r>
      </text>
    </comment>
    <comment ref="I14" authorId="0" shapeId="0">
      <text>
        <r>
          <rPr>
            <b/>
            <sz val="9"/>
            <color indexed="81"/>
            <rFont val="Tahoma"/>
            <family val="2"/>
          </rPr>
          <t>cmahoney:</t>
        </r>
        <r>
          <rPr>
            <sz val="9"/>
            <color indexed="81"/>
            <rFont val="Tahoma"/>
            <family val="2"/>
          </rPr>
          <t xml:space="preserve">
This is an ADS-B Out related pin.</t>
        </r>
      </text>
    </comment>
    <comment ref="J14" authorId="0" shapeId="0">
      <text>
        <r>
          <rPr>
            <b/>
            <sz val="9"/>
            <color indexed="81"/>
            <rFont val="Tahoma"/>
            <family val="2"/>
          </rPr>
          <t>cmahoney:</t>
        </r>
        <r>
          <rPr>
            <sz val="9"/>
            <color indexed="81"/>
            <rFont val="Tahoma"/>
            <family val="2"/>
          </rPr>
          <t xml:space="preserve">
This is an ADS-B related pin.
</t>
        </r>
      </text>
    </comment>
    <comment ref="G15" authorId="0" shapeId="0">
      <text>
        <r>
          <rPr>
            <b/>
            <sz val="9"/>
            <color indexed="81"/>
            <rFont val="Tahoma"/>
            <family val="2"/>
          </rPr>
          <t>cmahoney:</t>
        </r>
        <r>
          <rPr>
            <sz val="9"/>
            <color indexed="81"/>
            <rFont val="Tahoma"/>
            <family val="2"/>
          </rPr>
          <t xml:space="preserve">
This is an ADS-B Out related pin.</t>
        </r>
      </text>
    </comment>
    <comment ref="H15" authorId="0" shapeId="0">
      <text>
        <r>
          <rPr>
            <b/>
            <sz val="9"/>
            <color indexed="81"/>
            <rFont val="Tahoma"/>
            <family val="2"/>
          </rPr>
          <t>cmahoney:</t>
        </r>
        <r>
          <rPr>
            <sz val="9"/>
            <color indexed="81"/>
            <rFont val="Tahoma"/>
            <family val="2"/>
          </rPr>
          <t xml:space="preserve">
This is an ADS-B Out related pin.</t>
        </r>
      </text>
    </comment>
    <comment ref="I15" authorId="0" shapeId="0">
      <text>
        <r>
          <rPr>
            <b/>
            <sz val="9"/>
            <color indexed="81"/>
            <rFont val="Tahoma"/>
            <family val="2"/>
          </rPr>
          <t>cmahoney:</t>
        </r>
        <r>
          <rPr>
            <sz val="9"/>
            <color indexed="81"/>
            <rFont val="Tahoma"/>
            <family val="2"/>
          </rPr>
          <t xml:space="preserve">
This is an ADS-B Out related pin.</t>
        </r>
      </text>
    </comment>
    <comment ref="J15" authorId="0" shapeId="0">
      <text>
        <r>
          <rPr>
            <b/>
            <sz val="9"/>
            <color indexed="81"/>
            <rFont val="Tahoma"/>
            <family val="2"/>
          </rPr>
          <t>cmahoney:</t>
        </r>
        <r>
          <rPr>
            <sz val="9"/>
            <color indexed="81"/>
            <rFont val="Tahoma"/>
            <family val="2"/>
          </rPr>
          <t xml:space="preserve">
This is an ADS-B Out related pin.</t>
        </r>
      </text>
    </comment>
    <comment ref="G16" authorId="0" shapeId="0">
      <text>
        <r>
          <rPr>
            <b/>
            <sz val="9"/>
            <color indexed="81"/>
            <rFont val="Tahoma"/>
            <family val="2"/>
          </rPr>
          <t>cmahoney:</t>
        </r>
        <r>
          <rPr>
            <sz val="9"/>
            <color indexed="81"/>
            <rFont val="Tahoma"/>
            <family val="2"/>
          </rPr>
          <t xml:space="preserve">
This is an ADS-B Out related pin.</t>
        </r>
      </text>
    </comment>
    <comment ref="I16" authorId="0" shapeId="0">
      <text>
        <r>
          <rPr>
            <b/>
            <sz val="9"/>
            <color indexed="81"/>
            <rFont val="Tahoma"/>
            <family val="2"/>
          </rPr>
          <t>cmahoney:</t>
        </r>
        <r>
          <rPr>
            <sz val="9"/>
            <color indexed="81"/>
            <rFont val="Tahoma"/>
            <family val="2"/>
          </rPr>
          <t xml:space="preserve">
This is an ADS-B Out related pin.</t>
        </r>
      </text>
    </comment>
    <comment ref="J16" authorId="0" shapeId="0">
      <text>
        <r>
          <rPr>
            <b/>
            <sz val="9"/>
            <color indexed="81"/>
            <rFont val="Tahoma"/>
            <family val="2"/>
          </rPr>
          <t>cmahoney:</t>
        </r>
        <r>
          <rPr>
            <sz val="9"/>
            <color indexed="81"/>
            <rFont val="Tahoma"/>
            <family val="2"/>
          </rPr>
          <t xml:space="preserve">
This is an ADS-B Out related pin.</t>
        </r>
      </text>
    </comment>
    <comment ref="G18" authorId="0" shapeId="0">
      <text>
        <r>
          <rPr>
            <b/>
            <sz val="9"/>
            <color indexed="81"/>
            <rFont val="Tahoma"/>
            <family val="2"/>
          </rPr>
          <t>cmahoney:</t>
        </r>
        <r>
          <rPr>
            <sz val="9"/>
            <color indexed="81"/>
            <rFont val="Tahoma"/>
            <family val="2"/>
          </rPr>
          <t xml:space="preserve">
This is an ADS-B Out related pin.</t>
        </r>
      </text>
    </comment>
    <comment ref="I18" authorId="0" shapeId="0">
      <text>
        <r>
          <rPr>
            <b/>
            <sz val="9"/>
            <color indexed="81"/>
            <rFont val="Tahoma"/>
            <family val="2"/>
          </rPr>
          <t>cmahoney:</t>
        </r>
        <r>
          <rPr>
            <sz val="9"/>
            <color indexed="81"/>
            <rFont val="Tahoma"/>
            <family val="2"/>
          </rPr>
          <t xml:space="preserve">
This is an ADS-B Out related pin, This is the GPS #1 input speed select High/Low.</t>
        </r>
      </text>
    </comment>
    <comment ref="H19" authorId="0" shapeId="0">
      <text>
        <r>
          <rPr>
            <b/>
            <sz val="9"/>
            <color indexed="81"/>
            <rFont val="Tahoma"/>
            <family val="2"/>
          </rPr>
          <t>cmahoney:</t>
        </r>
        <r>
          <rPr>
            <sz val="9"/>
            <color indexed="81"/>
            <rFont val="Tahoma"/>
            <family val="2"/>
          </rPr>
          <t xml:space="preserve">
This is an ADS-B Out related pin.</t>
        </r>
      </text>
    </comment>
    <comment ref="I19" authorId="0" shapeId="0">
      <text>
        <r>
          <rPr>
            <b/>
            <sz val="9"/>
            <color indexed="81"/>
            <rFont val="Tahoma"/>
            <family val="2"/>
          </rPr>
          <t>cmahoney:</t>
        </r>
        <r>
          <rPr>
            <sz val="9"/>
            <color indexed="81"/>
            <rFont val="Tahoma"/>
            <family val="2"/>
          </rPr>
          <t xml:space="preserve">
This is an ADS-B Out related pin.</t>
        </r>
      </text>
    </comment>
    <comment ref="J19" authorId="0" shapeId="0">
      <text>
        <r>
          <rPr>
            <b/>
            <sz val="9"/>
            <color indexed="81"/>
            <rFont val="Tahoma"/>
            <family val="2"/>
          </rPr>
          <t>cmahoney:</t>
        </r>
        <r>
          <rPr>
            <sz val="9"/>
            <color indexed="81"/>
            <rFont val="Tahoma"/>
            <family val="2"/>
          </rPr>
          <t xml:space="preserve">
This is an ADS-B Out related pin.</t>
        </r>
      </text>
    </comment>
    <comment ref="I20" authorId="0" shapeId="0">
      <text>
        <r>
          <rPr>
            <b/>
            <sz val="9"/>
            <color indexed="81"/>
            <rFont val="Tahoma"/>
            <family val="2"/>
          </rPr>
          <t>cmahoney:</t>
        </r>
        <r>
          <rPr>
            <sz val="9"/>
            <color indexed="81"/>
            <rFont val="Tahoma"/>
            <family val="2"/>
          </rPr>
          <t xml:space="preserve">
This is an ADS-B Out related pin, if Pro Line IV or 21 and 2nd GPS installed.  This is the GPS #2 input speed select High/Low.</t>
        </r>
      </text>
    </comment>
    <comment ref="D21" authorId="0" shapeId="0">
      <text>
        <r>
          <rPr>
            <b/>
            <sz val="9"/>
            <color indexed="81"/>
            <rFont val="Tahoma"/>
            <family val="2"/>
          </rPr>
          <t>cmahoney:</t>
        </r>
        <r>
          <rPr>
            <sz val="9"/>
            <color indexed="81"/>
            <rFont val="Tahoma"/>
            <family val="2"/>
          </rPr>
          <t xml:space="preserve">
This is an ADS-B Out related pin, if Pro Line IV or 21 and 2nd GPS installed.  This is the GPS #2 A429 Input B.</t>
        </r>
      </text>
    </comment>
    <comment ref="E21" authorId="0" shapeId="0">
      <text>
        <r>
          <rPr>
            <b/>
            <sz val="9"/>
            <color indexed="81"/>
            <rFont val="Tahoma"/>
            <family val="2"/>
          </rPr>
          <t>cmahoney:</t>
        </r>
        <r>
          <rPr>
            <sz val="9"/>
            <color indexed="81"/>
            <rFont val="Tahoma"/>
            <family val="2"/>
          </rPr>
          <t xml:space="preserve">
This is an ADS-B Out related pin, if Pro Line IV or 21 and 2nd GPS installed.  This is the GPS #2 A429 Input A.</t>
        </r>
      </text>
    </comment>
    <comment ref="I21" authorId="0" shapeId="0">
      <text>
        <r>
          <rPr>
            <b/>
            <sz val="9"/>
            <color indexed="81"/>
            <rFont val="Tahoma"/>
            <family val="2"/>
          </rPr>
          <t>cmahoney:</t>
        </r>
        <r>
          <rPr>
            <sz val="9"/>
            <color indexed="81"/>
            <rFont val="Tahoma"/>
            <family val="2"/>
          </rPr>
          <t xml:space="preserve">
This is an ADS-B Out related pin.</t>
        </r>
      </text>
    </comment>
    <comment ref="E24" authorId="0" shapeId="0">
      <text>
        <r>
          <rPr>
            <b/>
            <sz val="9"/>
            <color indexed="81"/>
            <rFont val="Tahoma"/>
            <family val="2"/>
          </rPr>
          <t>cmahoney:</t>
        </r>
        <r>
          <rPr>
            <sz val="9"/>
            <color indexed="81"/>
            <rFont val="Tahoma"/>
            <family val="2"/>
          </rPr>
          <t xml:space="preserve">
This is an ADS-B Out related pin.  In a Pro Line IV or 21 installation, this pin is always tied to ground for the CMD STCs to ignore GPS data on the IOC inputs.</t>
        </r>
      </text>
    </comment>
    <comment ref="D26" authorId="0" shapeId="0">
      <text>
        <r>
          <rPr>
            <b/>
            <sz val="9"/>
            <color indexed="81"/>
            <rFont val="Tahoma"/>
            <family val="2"/>
          </rPr>
          <t>cmahoney:</t>
        </r>
        <r>
          <rPr>
            <sz val="9"/>
            <color indexed="81"/>
            <rFont val="Tahoma"/>
            <family val="2"/>
          </rPr>
          <t xml:space="preserve">
This is an ADS-B Out related pin.  This is the GPS #1 A429 Input B.</t>
        </r>
      </text>
    </comment>
    <comment ref="E26" authorId="0" shapeId="0">
      <text>
        <r>
          <rPr>
            <b/>
            <sz val="9"/>
            <color indexed="81"/>
            <rFont val="Tahoma"/>
            <family val="2"/>
          </rPr>
          <t>cmahoney:</t>
        </r>
        <r>
          <rPr>
            <sz val="9"/>
            <color indexed="81"/>
            <rFont val="Tahoma"/>
            <family val="2"/>
          </rPr>
          <t xml:space="preserve">
This is an ADS-B Out related pin.  This is the GPS #1 A429 Input A.</t>
        </r>
      </text>
    </comment>
    <comment ref="E27" authorId="0" shapeId="0">
      <text>
        <r>
          <rPr>
            <b/>
            <sz val="9"/>
            <color indexed="81"/>
            <rFont val="Tahoma"/>
            <family val="2"/>
          </rPr>
          <t>cmahoney:</t>
        </r>
        <r>
          <rPr>
            <sz val="9"/>
            <color indexed="81"/>
            <rFont val="Tahoma"/>
            <family val="2"/>
          </rPr>
          <t xml:space="preserve">
Disable GPS Integrity Limit (Nav Integrity Category (NIC)/NACv Limiting. This pin is always open for the CMD STCs.</t>
        </r>
      </text>
    </comment>
    <comment ref="H28" authorId="0" shapeId="0">
      <text>
        <r>
          <rPr>
            <b/>
            <sz val="9"/>
            <color indexed="81"/>
            <rFont val="Tahoma"/>
            <family val="2"/>
          </rPr>
          <t>cmahoney:</t>
        </r>
        <r>
          <rPr>
            <sz val="9"/>
            <color indexed="81"/>
            <rFont val="Tahoma"/>
            <family val="2"/>
          </rPr>
          <t xml:space="preserve">
This is an ADS-B Out related pin.  This pin should always be open.  Grounding it disables the ADS-B Out / Extended Squitter.</t>
        </r>
      </text>
    </comment>
  </commentList>
</comments>
</file>

<file path=xl/sharedStrings.xml><?xml version="1.0" encoding="utf-8"?>
<sst xmlns="http://schemas.openxmlformats.org/spreadsheetml/2006/main" count="1805" uniqueCount="638">
  <si>
    <t>ADLP Installed</t>
  </si>
  <si>
    <t>P2</t>
  </si>
  <si>
    <t>ADLP</t>
  </si>
  <si>
    <t>Control</t>
  </si>
  <si>
    <t>S1 - Control Port (Open,Gnd = Port C (P2-21,22) / Gnd,Gnd = Not Used</t>
  </si>
  <si>
    <t>S0 - Control Port (Gnd (57),Open (58) = Port A (P2-17,18) /  (Open, Open = Port B (P2-13,14)</t>
  </si>
  <si>
    <t>CSDB / A429 Control (Gnd = CSDB)</t>
  </si>
  <si>
    <t>CSDB A429</t>
  </si>
  <si>
    <t>Standby (F) (Gnd = Standby)</t>
  </si>
  <si>
    <t>Standby</t>
  </si>
  <si>
    <t>Reserved</t>
  </si>
  <si>
    <t>ADS-B</t>
  </si>
  <si>
    <t>Strap Common</t>
  </si>
  <si>
    <t>Strap</t>
  </si>
  <si>
    <t>Dual / Single Antenna</t>
  </si>
  <si>
    <t>Ant</t>
  </si>
  <si>
    <t>A429 B - GPS 1 Data In</t>
  </si>
  <si>
    <t>GPS</t>
  </si>
  <si>
    <t>A429 A - GPS 1 Data In</t>
  </si>
  <si>
    <t>Alt CSDB</t>
  </si>
  <si>
    <t>SDI</t>
  </si>
  <si>
    <t>Bit 17 - Max Airspeed LSB</t>
  </si>
  <si>
    <t>Airspeed</t>
  </si>
  <si>
    <t>Bit 16 - Max Airspeed</t>
  </si>
  <si>
    <t>Bit 15 - Max Airspeed  MSB</t>
  </si>
  <si>
    <t xml:space="preserve">Alt Type AS1 / AHRS Select (Tie to Common for 2 AHRS/IRS.  Open for 3) </t>
  </si>
  <si>
    <t>Alt AHRS3 IOC</t>
  </si>
  <si>
    <t>A429 In B - AIS/ADS (Table 5-8) Or Concentracted X-Side In (Table 5-7)</t>
  </si>
  <si>
    <t>AIS IOC</t>
  </si>
  <si>
    <t>A429 In A - AIS/ADS (Table 5-8)  Or Concentracted X-Side In (Table 5-7)</t>
  </si>
  <si>
    <t>GPS Time Mark Lo - Ignored by -501 TDR</t>
  </si>
  <si>
    <t>GPS Time Mark Hi - Ignored by -501 TDR</t>
  </si>
  <si>
    <t>CSDB In B - Altitude Port B (Table 5-2)</t>
  </si>
  <si>
    <t>CSDB</t>
  </si>
  <si>
    <t>CSDB In A - Altitude Port B (Table 5-2)</t>
  </si>
  <si>
    <t>CSDB In B - Altitude Port A (Table 5-2)</t>
  </si>
  <si>
    <t>CSDB In A - Altitude Port A (Table 5-2)</t>
  </si>
  <si>
    <t>CSDB In B - Controller (Table 5-1)</t>
  </si>
  <si>
    <t>CSDB In A - Controller (Table 5-1)</t>
  </si>
  <si>
    <t>A429/575 In B - Alt In Port B (Table 5-5) or GPS 2 (Table 5-9) Data In (If Integrated Pro Line)</t>
  </si>
  <si>
    <t>A429/575 In A - Alt In Port B (Table 5-5) or GPS 2 (Table 5-9) Data In (If Integrated Pro Line)</t>
  </si>
  <si>
    <t>A429 In B - FMS/IRS (Table 5-6) Or Concentracted On-Side In (Table 5-7)</t>
  </si>
  <si>
    <t>FMS IOC</t>
  </si>
  <si>
    <t>A429 In A - FMS/IRS Or Concentracted (Table 5-6) On-Side In (Table 5-7)</t>
  </si>
  <si>
    <t>A429/575 In B - Alt In Port A (Table 5-5)</t>
  </si>
  <si>
    <t>Alt</t>
  </si>
  <si>
    <t>A429/575 In A - Alt In Port A (Table 5-5)</t>
  </si>
  <si>
    <t>CSDB Out B - Bus 1 (Table 5-10)</t>
  </si>
  <si>
    <t>CSDB Out A - Bus 1 (Table 5-10)</t>
  </si>
  <si>
    <t>A429 Out B - Control Data Out - Bus 2 (Table 5-12)</t>
  </si>
  <si>
    <t>A429 Out A - Control Data Out - Bus 2 (Table 5-12)</t>
  </si>
  <si>
    <t>A429 In B - Control Data in - Port A (Table 5-4)</t>
  </si>
  <si>
    <t>A429 In A - Control Data in - Port A (Table 5-4)</t>
  </si>
  <si>
    <t>A429 In B - Control Data In - Port B (Table 5-4)</t>
  </si>
  <si>
    <t>A429 In A - Control Data In - Port B (Table 5-4)</t>
  </si>
  <si>
    <t>A429 Out B - TCAS/Transponder Coordination Data (TDR-94D only) (Table 5-11)</t>
  </si>
  <si>
    <t>TCAS</t>
  </si>
  <si>
    <t>A429 Out A - TCAS/Transponder Coordination Data (TDR-94D only) (Table 5-11)</t>
  </si>
  <si>
    <t>A429 In B - TCAS/Transponder Coordination Data (TDR-94D only) (Table 5-3)</t>
  </si>
  <si>
    <t>A429 In A - TCAS/Transponder Coordination Data (TDR-94D only) (Table 5-3)</t>
  </si>
  <si>
    <t>Reserved - A429 Out B - Comm C/D Data</t>
  </si>
  <si>
    <t>Reserved - A429 Out A - Comm C/D Data</t>
  </si>
  <si>
    <t>Reserved - A429 In B - Comm C/D Data</t>
  </si>
  <si>
    <t>Reserved - A429 In A - Comm C/D Data</t>
  </si>
  <si>
    <t>A429 Out B - Comm A/B Data</t>
  </si>
  <si>
    <t>A429 Out A - Comm A/B Data</t>
  </si>
  <si>
    <t>A429 In B - Comm A/B Data</t>
  </si>
  <si>
    <t>A429 In A - Comm A/B Data</t>
  </si>
  <si>
    <t>Power Ground</t>
  </si>
  <si>
    <t>P1</t>
  </si>
  <si>
    <t>Power</t>
  </si>
  <si>
    <t>Extended Squitter Disable</t>
  </si>
  <si>
    <t>+28 Vdc Power Input</t>
  </si>
  <si>
    <t>X-Side Concenstrated  Bus or  AIS/ADS X-Side Low/Hi Speed (Gnd = Hi)</t>
  </si>
  <si>
    <t>B24 - Mode S Address</t>
  </si>
  <si>
    <t>Mode S</t>
  </si>
  <si>
    <t>B23 - Mode S Address</t>
  </si>
  <si>
    <t>B22 - Mode S Address</t>
  </si>
  <si>
    <t>B21 - Mode S Address</t>
  </si>
  <si>
    <t>B20 - Mode S Address</t>
  </si>
  <si>
    <t>B19 - Mode S Address</t>
  </si>
  <si>
    <t>B18 - Mode S Address</t>
  </si>
  <si>
    <t>B17 - Mode S Address</t>
  </si>
  <si>
    <t>B16 - Mode S Address</t>
  </si>
  <si>
    <t>B15 - Mode S Address</t>
  </si>
  <si>
    <t>B14 - Mode S Address</t>
  </si>
  <si>
    <t>B13 - Mode S Address</t>
  </si>
  <si>
    <t>B12 - Mode S Address</t>
  </si>
  <si>
    <t>B11 - Mode S Address</t>
  </si>
  <si>
    <t>B10 - Mode S Address</t>
  </si>
  <si>
    <t>B9 - Mode S Address</t>
  </si>
  <si>
    <t>B8 - Mode S Address</t>
  </si>
  <si>
    <t>B7 - Mode S Address</t>
  </si>
  <si>
    <t>B6 - Mode S Address</t>
  </si>
  <si>
    <t>B5 - Mode S Address</t>
  </si>
  <si>
    <t>B4 - Mode S Address</t>
  </si>
  <si>
    <t>B3 - Mode S Address</t>
  </si>
  <si>
    <t>B2 - Mode S Address</t>
  </si>
  <si>
    <t>B1 - Mode S Address</t>
  </si>
  <si>
    <t>Common - Mode S Address</t>
  </si>
  <si>
    <t>Fault Monitor Output</t>
  </si>
  <si>
    <t>Suppression (Input/Output)</t>
  </si>
  <si>
    <t>Supp</t>
  </si>
  <si>
    <t>Configuration 0 (17 - Common, 28 - Common = Pro Line IV/21 IOC)</t>
  </si>
  <si>
    <t>Fed Int</t>
  </si>
  <si>
    <t>WOW</t>
  </si>
  <si>
    <t>Suppression Shield</t>
  </si>
  <si>
    <t>On-side Concentrated  bus or FMS/IRS On-Side Low/Hi Speed (Gnd = Hi)</t>
  </si>
  <si>
    <t>Type 2 - Aircfaft Type</t>
  </si>
  <si>
    <t>Type 1 - Aircfaft Type</t>
  </si>
  <si>
    <t>Type 0 - Aircfaft Type</t>
  </si>
  <si>
    <t>Self- Test Inhibit</t>
  </si>
  <si>
    <t>Self Test</t>
  </si>
  <si>
    <t>GPS 1 Low/Hi Speed (Gnd = Hi)</t>
  </si>
  <si>
    <t>Configuration 1 (17 -Open, 28 - Open = Federated use label 335 Track Angle Rate) (17 - Open, 28 - Common Federated ignore 335)</t>
  </si>
  <si>
    <t>SPI (Remote Ident) (Gnd = Ident On)</t>
  </si>
  <si>
    <t>Control ALT (Gnd = Altitude from Controller)</t>
  </si>
  <si>
    <t>Alt Control CSDB</t>
  </si>
  <si>
    <t>TCAS Installed (Gnd = Installed)</t>
  </si>
  <si>
    <t>ADS-B Strap Common</t>
  </si>
  <si>
    <t>GPS Long Offset (MSB)</t>
  </si>
  <si>
    <t>GPS Long Offset</t>
  </si>
  <si>
    <t>GPS Long Offset (LSB)</t>
  </si>
  <si>
    <t>Length/Width (MSB)</t>
  </si>
  <si>
    <t>Length/Width</t>
  </si>
  <si>
    <t>Length/Width (LSB)</t>
  </si>
  <si>
    <t>Description (with New ADS-B terms)</t>
  </si>
  <si>
    <t>Pin</t>
  </si>
  <si>
    <t>Connector</t>
  </si>
  <si>
    <t>Association</t>
  </si>
  <si>
    <t>Open</t>
  </si>
  <si>
    <t>P1-1</t>
  </si>
  <si>
    <t>P1-3</t>
  </si>
  <si>
    <t>P1-2</t>
  </si>
  <si>
    <t>Length (Meters)</t>
  </si>
  <si>
    <t>Width (Meters)</t>
  </si>
  <si>
    <t>Unknown</t>
  </si>
  <si>
    <t>Not Used</t>
  </si>
  <si>
    <t>P1-4</t>
  </si>
  <si>
    <t>P1-5</t>
  </si>
  <si>
    <t>P1-6</t>
  </si>
  <si>
    <t>Offset from Nose (Meters)</t>
  </si>
  <si>
    <t>No Data</t>
  </si>
  <si>
    <t>Offset Applied by Sensor</t>
  </si>
  <si>
    <t>ADS-B Common (P1-12)</t>
  </si>
  <si>
    <t>State</t>
  </si>
  <si>
    <t>Comment</t>
  </si>
  <si>
    <t>As Appropriate</t>
  </si>
  <si>
    <t>Transponder Standby/On Discrete Input (Optional)</t>
  </si>
  <si>
    <t>P1-20</t>
  </si>
  <si>
    <t>P1-21</t>
  </si>
  <si>
    <t>P1-22</t>
  </si>
  <si>
    <t>Type Set</t>
  </si>
  <si>
    <t>A</t>
  </si>
  <si>
    <t>Aircraft Category Type</t>
  </si>
  <si>
    <t>No ADS-B Emitter Category Information</t>
  </si>
  <si>
    <t>Light (&lt;15,500 lbs)</t>
  </si>
  <si>
    <t>Large (75,000 to 300,000 lbs)</t>
  </si>
  <si>
    <t>Small (15,500 to 75,000 lbs)</t>
  </si>
  <si>
    <t>High Vortex - Large (example Boeing 757)</t>
  </si>
  <si>
    <t>Heavy (&gt;300,00 lbs)</t>
  </si>
  <si>
    <t>High Performance (&gt;5g acceleration and &gt;400 knots)</t>
  </si>
  <si>
    <t>Rotor-Wing Aircraft</t>
  </si>
  <si>
    <t>ADS-B Strobe Pin and Transponder Standby/On Discrete output status</t>
  </si>
  <si>
    <t>From WAAS GPS Source</t>
  </si>
  <si>
    <t>Dual</t>
  </si>
  <si>
    <t>TDR Side Strapping (SDI)</t>
  </si>
  <si>
    <t>See Below</t>
  </si>
  <si>
    <t>Pin 4</t>
  </si>
  <si>
    <t>Pin 60</t>
  </si>
  <si>
    <t>Pin 1</t>
  </si>
  <si>
    <t>Pin 5</t>
  </si>
  <si>
    <t>Pin 9</t>
  </si>
  <si>
    <t>Pin 13</t>
  </si>
  <si>
    <t>Pin 17</t>
  </si>
  <si>
    <t>Pin 21</t>
  </si>
  <si>
    <t>Pin 25</t>
  </si>
  <si>
    <t>Pin 29</t>
  </si>
  <si>
    <t>Pin 33</t>
  </si>
  <si>
    <t>Pin 37</t>
  </si>
  <si>
    <t>Pin 41</t>
  </si>
  <si>
    <t>Pin 45</t>
  </si>
  <si>
    <t>Pin 49</t>
  </si>
  <si>
    <t>Pin 53</t>
  </si>
  <si>
    <t>Pin 57</t>
  </si>
  <si>
    <t>Pin 8</t>
  </si>
  <si>
    <t>Pin 12</t>
  </si>
  <si>
    <t>Pin 16</t>
  </si>
  <si>
    <t>Pin 20</t>
  </si>
  <si>
    <t>Pin 24</t>
  </si>
  <si>
    <t>Pin 28</t>
  </si>
  <si>
    <t>Pin 32</t>
  </si>
  <si>
    <t>Pin 36</t>
  </si>
  <si>
    <t>Pin 40</t>
  </si>
  <si>
    <t>Pin 44</t>
  </si>
  <si>
    <t>Pin 48</t>
  </si>
  <si>
    <t>Pin 52</t>
  </si>
  <si>
    <t>Pin 56</t>
  </si>
  <si>
    <t/>
  </si>
  <si>
    <t>Aircraft Type:</t>
  </si>
  <si>
    <t>Aircraft Serial Number:</t>
  </si>
  <si>
    <t>Aircraft Tail Number:</t>
  </si>
  <si>
    <t>Question</t>
  </si>
  <si>
    <t>Is this installation a Pro Line IV or 21 or Federated?</t>
  </si>
  <si>
    <t>Typically no change required.</t>
  </si>
  <si>
    <t>Select best match from list.</t>
  </si>
  <si>
    <t>Air/Gound Discrete Input (Gnd = On Ground)</t>
  </si>
  <si>
    <t>No change required.</t>
  </si>
  <si>
    <t>Are the ATC Controller(s) A429 or CSDB?</t>
  </si>
  <si>
    <t>A429 Input Controller A</t>
  </si>
  <si>
    <t>A429 Input Controller B</t>
  </si>
  <si>
    <t>A429 Input Controller C</t>
  </si>
  <si>
    <t>CSDB Input Controller</t>
  </si>
  <si>
    <t>Altitude Input A (Federated) (P2-25, 26)</t>
  </si>
  <si>
    <t>Altitude Inputs B (Federated) (P2-29, 30)</t>
  </si>
  <si>
    <t>FMS/IRS Input (Federated) (P2-27, 28)</t>
  </si>
  <si>
    <t>AIS/ADS Input (Federated) (P2-39, 40)</t>
  </si>
  <si>
    <t>WAAS GPS Input (Federated) (P2-49, 50)</t>
  </si>
  <si>
    <t>WAAS GPS #2 Input (Pro Line IV or 21) (P2-29, 30)</t>
  </si>
  <si>
    <t>WAAS GPS #1 Input (Pro Line IV or 21) (P2-49, 50)</t>
  </si>
  <si>
    <t>IOC #1 (On-side) Input (Pro Line IV or 21) (P2-27, 28)</t>
  </si>
  <si>
    <t>IOC #2 (Cross-side) Input (Pro Line IV or 21) (P2-39, 40)</t>
  </si>
  <si>
    <t>Add the WAAS GPS Source here.</t>
  </si>
  <si>
    <t>Add the #1 WAAS GPS Source here.</t>
  </si>
  <si>
    <t>Add the #2 WAAS GPS Source here.</t>
  </si>
  <si>
    <t>This entry is not used in the formulas of this workbook/spreadsheet.</t>
  </si>
  <si>
    <t>Aircraft assigned Mode S Code (The 6 digits in hex)</t>
  </si>
  <si>
    <t>Length and Width</t>
  </si>
  <si>
    <t>GPS Offset from Nose</t>
  </si>
  <si>
    <t>Aircraft Max Airspeed</t>
  </si>
  <si>
    <t>Installed</t>
  </si>
  <si>
    <t>Not Installed</t>
  </si>
  <si>
    <t>High Speed</t>
  </si>
  <si>
    <t>Low Speed</t>
  </si>
  <si>
    <t>Maximum Airspeed</t>
  </si>
  <si>
    <t>P2-43</t>
  </si>
  <si>
    <t>P2-44</t>
  </si>
  <si>
    <t>P2-45</t>
  </si>
  <si>
    <t>Dual or Triple Attitude Sources (IRS or AHRS) Installed?</t>
  </si>
  <si>
    <t>Triple</t>
  </si>
  <si>
    <t>No Airspeed Available</t>
  </si>
  <si>
    <t>0 to 75 Knots</t>
  </si>
  <si>
    <t>75 to 150 Knots</t>
  </si>
  <si>
    <t>150 to 300 Knots</t>
  </si>
  <si>
    <t>300 to 600 Knots</t>
  </si>
  <si>
    <t>600 to 1200 Knots</t>
  </si>
  <si>
    <t>Greater than 1200 Knots</t>
  </si>
  <si>
    <t>Undefined</t>
  </si>
  <si>
    <t>Federated and don't Use Label 335 From FMS</t>
  </si>
  <si>
    <t>Federated and Use Label 335 From FMS</t>
  </si>
  <si>
    <t>Integrated Pro Line IV or 21</t>
  </si>
  <si>
    <t>Single</t>
  </si>
  <si>
    <t>Left</t>
  </si>
  <si>
    <t>Right</t>
  </si>
  <si>
    <t>A429 Controller</t>
  </si>
  <si>
    <t>CSDB Controller</t>
  </si>
  <si>
    <t>Fed_Int</t>
  </si>
  <si>
    <t>Speed</t>
  </si>
  <si>
    <t>Dual_Triple</t>
  </si>
  <si>
    <t>Dual_Single</t>
  </si>
  <si>
    <t>Side</t>
  </si>
  <si>
    <t>Controller Type</t>
  </si>
  <si>
    <t>&lt;Make Selection&gt;</t>
  </si>
  <si>
    <t>Select Aircraft Length and Width (L x W in Meters)</t>
  </si>
  <si>
    <t>ADS-B Strobe (P1-30)</t>
  </si>
  <si>
    <t>Does the TDR accept Altitude from the Controller?</t>
  </si>
  <si>
    <t>Yes No</t>
  </si>
  <si>
    <t>Yes</t>
  </si>
  <si>
    <t>No</t>
  </si>
  <si>
    <t>P1-17</t>
  </si>
  <si>
    <t>P1-28</t>
  </si>
  <si>
    <t>Common Ground (P2-52)</t>
  </si>
  <si>
    <t>ADLP Installed?</t>
  </si>
  <si>
    <t>Is a second GPS (#2) Installed? (Pro Line IV or 21)</t>
  </si>
  <si>
    <t>Interface to DDA or AFID</t>
  </si>
  <si>
    <t>A429 Out A - Control Data Out - Bus 1 (Table 5-12) - This can be spliced and intefaced to the DDA or AFID.</t>
  </si>
  <si>
    <t>A429 Out B - Control Data Out - Bus 1 (Table 5-12) - This can be spliced and intefaced to the DDA or AFID.</t>
  </si>
  <si>
    <t>A429 In A - Control Data In - Port C (Table 5-4)</t>
  </si>
  <si>
    <t>A429 In B - Control Data In - Port C (Table 5-4)</t>
  </si>
  <si>
    <t>ADS-B Configuration Parity - Even Parity - Count Common/Ground for P1-1 - 10 and P1-20 -23.  Open and Strobe are the same</t>
  </si>
  <si>
    <t>Typically no change required.  The Altitude A and B Input Speeds Select are tied together, both must be Low Speed or both must be High Speed</t>
  </si>
  <si>
    <t>ALT Port A/B Low Speed and GPS 2 Low/Hi Speed (Gnd = Hi)</t>
  </si>
  <si>
    <t>Wire Installed</t>
  </si>
  <si>
    <t>No existing wire Installed</t>
  </si>
  <si>
    <t>Existing wire Installed</t>
  </si>
  <si>
    <t>Dual / Single Antenna (Grnd = Single)</t>
  </si>
  <si>
    <t>Air Data Type</t>
  </si>
  <si>
    <t>A575 ADC</t>
  </si>
  <si>
    <t>A429 ADC</t>
  </si>
  <si>
    <t>CSDB ADC</t>
  </si>
  <si>
    <t>Are the Altitude ADC's A429, CSDB or A575?</t>
  </si>
  <si>
    <t>Speed with AFID</t>
  </si>
  <si>
    <t>High Speed (HS if AFID Connected)</t>
  </si>
  <si>
    <t>&lt;= 15 x &lt;= 23</t>
  </si>
  <si>
    <t>&lt;= 25 x &lt;= 28.5</t>
  </si>
  <si>
    <t>&lt;= 25 x &lt;= 34</t>
  </si>
  <si>
    <t>&lt;= 35 x &lt;= 33</t>
  </si>
  <si>
    <t>&lt;= 45 x &lt;= 39.5</t>
  </si>
  <si>
    <t>&lt;= 45 x &lt;= 45</t>
  </si>
  <si>
    <t>&lt;= 55 x &lt;= 45</t>
  </si>
  <si>
    <t>&lt;= 55 x &lt;= 52</t>
  </si>
  <si>
    <t>&lt;= 65 x &lt;= 59.5</t>
  </si>
  <si>
    <t>&lt;= 65 x &lt;= 67</t>
  </si>
  <si>
    <t>&lt;= 75 x &lt;= 72.5</t>
  </si>
  <si>
    <t>&lt;= 75 x &lt;= 80</t>
  </si>
  <si>
    <t>&lt;= 85 x &lt;= 80</t>
  </si>
  <si>
    <t>&lt;= 85 x &lt;= 90</t>
  </si>
  <si>
    <t>The entry must be 6 hexidecimal characters assigned from the FAA or other registering CAA.</t>
  </si>
  <si>
    <t>TDR</t>
  </si>
  <si>
    <t>Reporting Altitude  Port A or B (Gnd = B)</t>
  </si>
  <si>
    <t>Open / Ground</t>
  </si>
  <si>
    <t>&lt;Make Selection&gt; No change required for ADS-B Out.  Reference existing drawings.</t>
  </si>
  <si>
    <t>SDI Input A (Open for Left / Ground for Right Side)</t>
  </si>
  <si>
    <t>SDI Input B (Ground for Left Side / Open for Right Side)</t>
  </si>
  <si>
    <t>Open / Wired</t>
  </si>
  <si>
    <t>Existing Wire</t>
  </si>
  <si>
    <r>
      <rPr>
        <b/>
        <sz val="11"/>
        <color theme="1"/>
        <rFont val="Calibri"/>
        <family val="2"/>
        <scheme val="minor"/>
      </rPr>
      <t>&lt;Make Selection&gt;</t>
    </r>
    <r>
      <rPr>
        <sz val="11"/>
        <color theme="1"/>
        <rFont val="Calibri"/>
        <family val="2"/>
        <scheme val="minor"/>
      </rPr>
      <t xml:space="preserve"> No change required for ADS-B Out.  Reference existing drawings.</t>
    </r>
  </si>
  <si>
    <t>Cells shaded in light blue are directly related to ADS-B Out</t>
  </si>
  <si>
    <t>Federated Selections (Non Pro Line IV or 21)</t>
  </si>
  <si>
    <t>Integrated Pro Line IV or 21 Selections</t>
  </si>
  <si>
    <t>&lt;= 35 x &lt;= 38</t>
  </si>
  <si>
    <t>Select GPS Offset from Nose (in Meters)</t>
  </si>
  <si>
    <t>Legend</t>
  </si>
  <si>
    <t xml:space="preserve">  = A contact is installed</t>
  </si>
  <si>
    <t>GPS ADS-B</t>
  </si>
  <si>
    <t>ALT GPS ADS-B</t>
  </si>
  <si>
    <t>Alt GPS Int ADS-B</t>
  </si>
  <si>
    <t>Alt GPS IOC ADS-B</t>
  </si>
  <si>
    <t>Disable GPS Integrity Limit (Nav Integrity Category (NIC)/NACv Limiting. This pin is always open for the CMD STCs.</t>
  </si>
  <si>
    <t>Navigational Accuracy Category-Velocity (NACv). This pin is always tied to ADS-B Common for the CMD STCs.</t>
  </si>
  <si>
    <t>System Design Assurance - SDA. This pin is always tied to ADS-B Common for the CMD STCs.</t>
  </si>
  <si>
    <t>Alt Type ASO / GPS Select (Tie to Common so GPS Data on IOC bus is ignored).  In a Pro Line IV or 21 installation, this pin is always tied to ground for the CMD STCs.</t>
  </si>
  <si>
    <t xml:space="preserve">  = ADS-B related pin, no contact installed.</t>
  </si>
  <si>
    <t xml:space="preserve">  = ADS-B related pin, a contact is installed.</t>
  </si>
  <si>
    <t xml:space="preserve"> = Tied to Mode S Common (P1-32)</t>
  </si>
  <si>
    <t xml:space="preserve"> = Tied to Common Ground (P2-52) or airframe ground</t>
  </si>
  <si>
    <t xml:space="preserve"> = Tied to ADS-B Common (P1-12).</t>
  </si>
  <si>
    <t xml:space="preserve"> = Tied to ADS-B Strobe (P1-30).</t>
  </si>
  <si>
    <t>Burst Tune (Gnd = Burst).  This pin should always be open.</t>
  </si>
  <si>
    <t>Part 23 or 25</t>
  </si>
  <si>
    <t>TDR or Primus II</t>
  </si>
  <si>
    <t>AIRCRAFT MAKE</t>
  </si>
  <si>
    <t>AIRCRAFT MODEL</t>
  </si>
  <si>
    <t>TCDS NO.</t>
  </si>
  <si>
    <t>Length x Width (Meters)</t>
  </si>
  <si>
    <t>Max Speed</t>
  </si>
  <si>
    <t>Part 25</t>
  </si>
  <si>
    <t>Airbus Defense and Space S.A.</t>
  </si>
  <si>
    <t>CN-235-100</t>
  </si>
  <si>
    <t>A21NM</t>
  </si>
  <si>
    <t>21.4x25.81</t>
  </si>
  <si>
    <t>CN-235-200</t>
  </si>
  <si>
    <t>CN-235-300</t>
  </si>
  <si>
    <t>Beechcraft Corporation</t>
  </si>
  <si>
    <t>MU-300  (Diamond I and IA)</t>
  </si>
  <si>
    <t>A14SW</t>
  </si>
  <si>
    <t>14.7 x  13.26</t>
  </si>
  <si>
    <t>MU-300-10 (Diamond II)</t>
  </si>
  <si>
    <t>A16SW</t>
  </si>
  <si>
    <t>400A (Hawker 400XP)</t>
  </si>
  <si>
    <t>400T</t>
  </si>
  <si>
    <t>HS.125 Series 700A</t>
  </si>
  <si>
    <t>A3EU</t>
  </si>
  <si>
    <t>15.6 x 16.5</t>
  </si>
  <si>
    <t>HS.125 Series 700B</t>
  </si>
  <si>
    <t>BAe.125 Series 800A</t>
  </si>
  <si>
    <t>BAe.125 Series 800B</t>
  </si>
  <si>
    <t>Hawker 800XP</t>
  </si>
  <si>
    <t>Hawker 850XP</t>
  </si>
  <si>
    <t>Hawker 900XP</t>
  </si>
  <si>
    <t>Hawker 750</t>
  </si>
  <si>
    <t>The Boeing Company</t>
  </si>
  <si>
    <t xml:space="preserve">727 Series </t>
  </si>
  <si>
    <t>A3WE</t>
  </si>
  <si>
    <t>40.59x32.92</t>
  </si>
  <si>
    <t>727-100 Series</t>
  </si>
  <si>
    <t>727-200 Series</t>
  </si>
  <si>
    <t>46.68x32.92</t>
  </si>
  <si>
    <t>DC-9-87 (MD-87)</t>
  </si>
  <si>
    <t>A6WE</t>
  </si>
  <si>
    <t>39.73x32.82</t>
  </si>
  <si>
    <t>Bombardier Inc.</t>
  </si>
  <si>
    <t>DHC-8-100 Series</t>
  </si>
  <si>
    <t>A13NM</t>
  </si>
  <si>
    <t>22.25x27.4</t>
  </si>
  <si>
    <t>DHC-8-200 Series</t>
  </si>
  <si>
    <t>DHC-8-300 Series</t>
  </si>
  <si>
    <t>25.7x27.4</t>
  </si>
  <si>
    <t>DHC-8-400 Series</t>
  </si>
  <si>
    <t>32.8x27.4</t>
  </si>
  <si>
    <t>CL600-1A11 (CL-600) CL600-2A12 (CL-601) CL600-2B16</t>
  </si>
  <si>
    <t>A21EA</t>
  </si>
  <si>
    <t>20.85 x 19.61</t>
  </si>
  <si>
    <t>CL-601-3A Variant</t>
  </si>
  <si>
    <t>CL-601-3R Variant</t>
  </si>
  <si>
    <t>CL-604 Variant</t>
  </si>
  <si>
    <t>CL-600-2B19 (Regional Jet Series 100 &amp; 440 &amp; CL-850)</t>
  </si>
  <si>
    <t>26.77 x 21.21</t>
  </si>
  <si>
    <t xml:space="preserve">CL-600-2C10 (Regional Jet Series 700, 701 &amp; 702) </t>
  </si>
  <si>
    <t>32.3x23.3</t>
  </si>
  <si>
    <t>CL-600-2D15 (Regional Jet Series 705)</t>
  </si>
  <si>
    <t>CL-600-2D24 (Regional Jet Series 900)</t>
  </si>
  <si>
    <t>36.2x24.9</t>
  </si>
  <si>
    <t>CL-600-2E25 (Regional Jet Series 1000)</t>
  </si>
  <si>
    <t>39.1x26.2</t>
  </si>
  <si>
    <t>BD-100-1A10 (CL-300 / 350)</t>
  </si>
  <si>
    <t>T00005NY</t>
  </si>
  <si>
    <t>21 x 19.46</t>
  </si>
  <si>
    <t>Dassault Aviation</t>
  </si>
  <si>
    <t>Fan Jet Falcon</t>
  </si>
  <si>
    <t>A7EU</t>
  </si>
  <si>
    <t>17.15 x 16.3</t>
  </si>
  <si>
    <t>Fan Jet Falcon Series C, D, E, F, G</t>
  </si>
  <si>
    <t>Mystere-Falcon 20-C5,</t>
  </si>
  <si>
    <t>20-D5, 20-E5, 20-F5</t>
  </si>
  <si>
    <t>Mystere-Falcon 200</t>
  </si>
  <si>
    <t>Falcon 10</t>
  </si>
  <si>
    <t>A33EU</t>
  </si>
  <si>
    <t>Mystere-Falcon 50 and 50EX</t>
  </si>
  <si>
    <t>A46EU</t>
  </si>
  <si>
    <t>18.52 x 18.86</t>
  </si>
  <si>
    <t>Mystere-Falcon 900</t>
  </si>
  <si>
    <t>20.21x19.33</t>
  </si>
  <si>
    <t>Falcon 900EX</t>
  </si>
  <si>
    <t>Falcon 2000</t>
  </si>
  <si>
    <t>A50NM</t>
  </si>
  <si>
    <t>20.2 x  19.3</t>
  </si>
  <si>
    <t>Falcon 2000EX</t>
  </si>
  <si>
    <t>Fokker Services      B. V.</t>
  </si>
  <si>
    <t>F.27 Mark 050  (Fokker 50)</t>
  </si>
  <si>
    <t>A-817</t>
  </si>
  <si>
    <t>25.25x29</t>
  </si>
  <si>
    <t>Gulfstream Aerospace LP</t>
  </si>
  <si>
    <t>1125 Westwind Astra</t>
  </si>
  <si>
    <t>A16NM</t>
  </si>
  <si>
    <t>16.94x16.64</t>
  </si>
  <si>
    <t xml:space="preserve">Astra SPX </t>
  </si>
  <si>
    <t>Gulfstream 100 Gulfstream G150</t>
  </si>
  <si>
    <t>Galaxy</t>
  </si>
  <si>
    <t>A53NM</t>
  </si>
  <si>
    <t>18.97 x 17,7</t>
  </si>
  <si>
    <t>Gulfstream 200</t>
  </si>
  <si>
    <t>Gulfstream</t>
  </si>
  <si>
    <t>G-1159 (G-II)</t>
  </si>
  <si>
    <t>A12EA</t>
  </si>
  <si>
    <t>24.36x20.98</t>
  </si>
  <si>
    <t>G-1159A (G-III)</t>
  </si>
  <si>
    <t>25.32x23.72</t>
  </si>
  <si>
    <t>G1159B (G-IIB)</t>
  </si>
  <si>
    <t>G-IV</t>
  </si>
  <si>
    <t>26.92x23.72</t>
  </si>
  <si>
    <t>GV</t>
  </si>
  <si>
    <t>29.4x28.48</t>
  </si>
  <si>
    <t>GV-SP</t>
  </si>
  <si>
    <t>Israel Aircraft Industries Ltd.</t>
  </si>
  <si>
    <t>A2SW</t>
  </si>
  <si>
    <t>15.93x13.65</t>
  </si>
  <si>
    <t>1124A</t>
  </si>
  <si>
    <t>Kelowna Flightcraft R &amp; D Ltd. Tracor (Convair)</t>
  </si>
  <si>
    <t>6A6</t>
  </si>
  <si>
    <t>24.13x32.12</t>
  </si>
  <si>
    <t>24.84x32.12</t>
  </si>
  <si>
    <t>Learjet Inc.</t>
  </si>
  <si>
    <t>A5CE</t>
  </si>
  <si>
    <t>13.18x10.84</t>
  </si>
  <si>
    <t>24, 24A, 24B, 24B-A, 24C, 24D, 24D-A, 24E, 24F, 24F-A</t>
  </si>
  <si>
    <t>A10CE</t>
  </si>
  <si>
    <t>25, 25A, 25B, 25C, 25D, 25F, 28</t>
  </si>
  <si>
    <t>14.5x10.84</t>
  </si>
  <si>
    <t>31, 31A</t>
  </si>
  <si>
    <t>14.83x13.36</t>
  </si>
  <si>
    <t>35, 35A (C-21A)</t>
  </si>
  <si>
    <t>14.83x12.04</t>
  </si>
  <si>
    <t>36, 36A</t>
  </si>
  <si>
    <t>55, 55B, 55C</t>
  </si>
  <si>
    <t>16.8x13.35</t>
  </si>
  <si>
    <t>17.81 x 13.34</t>
  </si>
  <si>
    <t>45 (Learjet 40)</t>
  </si>
  <si>
    <t>T00008WI</t>
  </si>
  <si>
    <t>16.93x14.56</t>
  </si>
  <si>
    <t>45 (Learjet 45)</t>
  </si>
  <si>
    <t>17.68x14.58</t>
  </si>
  <si>
    <t>45 (Learjet 70)</t>
  </si>
  <si>
    <t>17.1x15.5</t>
  </si>
  <si>
    <t>45 (Learjet 75)</t>
  </si>
  <si>
    <t>17.7x15.52</t>
  </si>
  <si>
    <t>Lockheed Martin Corporation</t>
  </si>
  <si>
    <t>1329-23A</t>
  </si>
  <si>
    <t>2A15</t>
  </si>
  <si>
    <t>18.41x16.59</t>
  </si>
  <si>
    <t xml:space="preserve">1329-23D </t>
  </si>
  <si>
    <t>1329-23E</t>
  </si>
  <si>
    <t>1329-25</t>
  </si>
  <si>
    <t>SAAB</t>
  </si>
  <si>
    <t>19.73x21.44</t>
  </si>
  <si>
    <t>Sabreliner Aviation LLC</t>
  </si>
  <si>
    <t>NA-265-65</t>
  </si>
  <si>
    <t>A2WE</t>
  </si>
  <si>
    <t>13.41x13.56</t>
  </si>
  <si>
    <t>NA265-70</t>
  </si>
  <si>
    <t>NA265-80</t>
  </si>
  <si>
    <t>Short Brothers PLC</t>
  </si>
  <si>
    <t>SD3-30</t>
  </si>
  <si>
    <t>A41EU</t>
  </si>
  <si>
    <t>17.69x22.76</t>
  </si>
  <si>
    <t>SD3-60</t>
  </si>
  <si>
    <t>21.58x22.80</t>
  </si>
  <si>
    <t>SD3-SHERPA</t>
  </si>
  <si>
    <t>SD3-60 SHERPA</t>
  </si>
  <si>
    <t>Textron Aviation Inc. (Cessna)</t>
  </si>
  <si>
    <t>650 (Citation III, VI and VII)</t>
  </si>
  <si>
    <t>A9NM</t>
  </si>
  <si>
    <t>16.92x16.31</t>
  </si>
  <si>
    <t>A22CE</t>
  </si>
  <si>
    <t>13.26x14.35</t>
  </si>
  <si>
    <t>14.39x15.90</t>
  </si>
  <si>
    <t xml:space="preserve">S550 </t>
  </si>
  <si>
    <t>14.91x15.90</t>
  </si>
  <si>
    <t xml:space="preserve">560XL </t>
  </si>
  <si>
    <t>16 x 17.7</t>
  </si>
  <si>
    <t>T00007WI</t>
  </si>
  <si>
    <t>22.05x19.38</t>
  </si>
  <si>
    <t>Part 23</t>
  </si>
  <si>
    <t>200, 200C, 200CT, 200T, B200, B200C, B200CT, B200T, 300, 300LW B200GT B200CGT, A100-1 (U-21J), A200 (C-12A), A200 (C-12C), A200C (UC-12B), A200CT, (C-12D), A200CT (FWC-12D), A200CT (C-12F), A200CT (RC-12D), A200CT (RC-12G), A200CT (RC-12H), A200CT (RC-12K,) A200CT (RC-12P), A200CT (RC-12Q), B200C (C-12F), B200C (UC-12M), B200C (C-12R), B200C (UC-12F).</t>
  </si>
  <si>
    <t>A24CE</t>
  </si>
  <si>
    <t>13.43 x 16.61</t>
  </si>
  <si>
    <t>B300, B300C, B300C (MC-12W), B300C (UC-12W)</t>
  </si>
  <si>
    <t>14.22 x 17.65</t>
  </si>
  <si>
    <t>1900, 1900C, 1900C (C-12J), 1900D</t>
  </si>
  <si>
    <t>17.62x17.64</t>
  </si>
  <si>
    <t xml:space="preserve">King Air C90A, C90GT, C90GTi, H90 (T-44A) </t>
  </si>
  <si>
    <t>3A20</t>
  </si>
  <si>
    <t>10.82 x 15.32</t>
  </si>
  <si>
    <t>390 (Premier I, IA and II)</t>
  </si>
  <si>
    <t>A00010WI</t>
  </si>
  <si>
    <t>14.02 x 13.56</t>
  </si>
  <si>
    <t>525 (CJ, CJ1, CJ1+)</t>
  </si>
  <si>
    <t>A1WI</t>
  </si>
  <si>
    <t>12.98 x 14.3</t>
  </si>
  <si>
    <t>525A (CJ2, CJ2+)</t>
  </si>
  <si>
    <t>14.5 x 14.3</t>
  </si>
  <si>
    <t>525B (CJ3, CJ3+)</t>
  </si>
  <si>
    <t>15.59 x 16.26</t>
  </si>
  <si>
    <t>525C (CJ4)</t>
  </si>
  <si>
    <t>16.26 x 15.49</t>
  </si>
  <si>
    <t>A27CE</t>
  </si>
  <si>
    <t>Dornier Luftfahrt GmbH</t>
  </si>
  <si>
    <t>DO-228-100, -101, -200, -201, -202, -212</t>
  </si>
  <si>
    <t>A16EU</t>
  </si>
  <si>
    <t>16.56x16.97</t>
  </si>
  <si>
    <t>Piaggio Aero Industries S.p.A</t>
  </si>
  <si>
    <t>P-180</t>
  </si>
  <si>
    <t>A59EU</t>
  </si>
  <si>
    <t>14.41 x 14.03</t>
  </si>
  <si>
    <t>Pilatus Aircraft LTD.</t>
  </si>
  <si>
    <t>PC-12, PC-12/45, PC-12/47, PC-12/47E</t>
  </si>
  <si>
    <t>A78EU</t>
  </si>
  <si>
    <t>14.4x16.28</t>
  </si>
  <si>
    <t>M7 Aerospace, LLC</t>
  </si>
  <si>
    <t>SA26-T, SA26-AT, SA226-T, SA226-AT, SA226-T(B), SA227-AT, SA227-TT</t>
  </si>
  <si>
    <t>A5SW</t>
  </si>
  <si>
    <t>12.85x14.10</t>
  </si>
  <si>
    <t>SA226-TC, SA227-AC (C-26A), SA227-PC, SA227-BC (C-26A)</t>
  </si>
  <si>
    <t>A8SW</t>
  </si>
  <si>
    <t>18.09x17.37</t>
  </si>
  <si>
    <t>Primus II</t>
  </si>
  <si>
    <t>Hawker 800</t>
  </si>
  <si>
    <t>Hawker 1000</t>
  </si>
  <si>
    <t>16.42x15.66</t>
  </si>
  <si>
    <t xml:space="preserve">BAe.125 Series 1000A </t>
  </si>
  <si>
    <t>BAe.125 Series 1000B</t>
  </si>
  <si>
    <t>CL600-2B16 (CL-601-3A and CL-601-3R Varient)</t>
  </si>
  <si>
    <t>20.85x19.61</t>
  </si>
  <si>
    <t>BD-700-1A10</t>
  </si>
  <si>
    <t>T00003NY</t>
  </si>
  <si>
    <t>29.5x28.7</t>
  </si>
  <si>
    <t>BD-700-1A11</t>
  </si>
  <si>
    <t>30.3x28.7</t>
  </si>
  <si>
    <t>Embraer</t>
  </si>
  <si>
    <t xml:space="preserve">EMB-145 </t>
  </si>
  <si>
    <t>T00011AT</t>
  </si>
  <si>
    <t>29.87x20.04</t>
  </si>
  <si>
    <t xml:space="preserve">EMB-145ER </t>
  </si>
  <si>
    <t xml:space="preserve">EMB-145MR </t>
  </si>
  <si>
    <t xml:space="preserve">EMB-145LR </t>
  </si>
  <si>
    <t xml:space="preserve">EMB-135ER </t>
  </si>
  <si>
    <t>26.33x20.04</t>
  </si>
  <si>
    <t xml:space="preserve">EMB-135LR </t>
  </si>
  <si>
    <t xml:space="preserve">EMB-135KE </t>
  </si>
  <si>
    <t xml:space="preserve">EMB-135KL </t>
  </si>
  <si>
    <t xml:space="preserve">EMB-135BJ </t>
  </si>
  <si>
    <t xml:space="preserve">EMB-145XR </t>
  </si>
  <si>
    <t xml:space="preserve">EMB-145MP </t>
  </si>
  <si>
    <t>EMB-145EP</t>
  </si>
  <si>
    <t>27.23x23.72</t>
  </si>
  <si>
    <t>GIV-X</t>
  </si>
  <si>
    <t>RUAG / Dornier</t>
  </si>
  <si>
    <t>21.23x20.98</t>
  </si>
  <si>
    <t>650 (Citation VI and VII)</t>
  </si>
  <si>
    <t>550 (Citation II)</t>
  </si>
  <si>
    <t>550 (Bravo)</t>
  </si>
  <si>
    <t>560 (Citation V, Ultra, Encore)</t>
  </si>
  <si>
    <t xml:space="preserve">560XL (Excel, XLS) </t>
  </si>
  <si>
    <t>16x17.17</t>
  </si>
  <si>
    <t>15.51x14.32</t>
  </si>
  <si>
    <t>15.6 x 15.65</t>
  </si>
  <si>
    <t>This may change especially if the AFID is used.  The AFID outputs High Speed.</t>
  </si>
  <si>
    <t>This may change potentially if the AFID is used.  The AFID outputs High Speed.</t>
  </si>
  <si>
    <t>Select best match from list.  The "Aircraft L x W" tab lists a number of aircraft as an aid.</t>
  </si>
  <si>
    <t>Rev IR</t>
  </si>
  <si>
    <t>Revision</t>
  </si>
  <si>
    <t>Date</t>
  </si>
  <si>
    <t>Description of Changes</t>
  </si>
  <si>
    <t>Initial Release</t>
  </si>
  <si>
    <t>This spreadsheet is controlled under CMD Document Number:  DB1701001.</t>
  </si>
  <si>
    <t xml:space="preserve">  = Open, i.e. no contact installed</t>
  </si>
  <si>
    <t>The CMD Maintenance Manual was written to utilize this spreadsheet hand in hand with the intention of helping the Installation Engineer and Technician properly configure the TDR-94/94D for ADS-B Out operation per the CMD STC's.  Answering the questions below will gather the necessary information about your aircfraft to properly configure, strap and wire the Transponder.  The CMD STC's require some ADS-B Out strap settings to be configured a particular way, so those questions are not asked.  A number of items are not required to change from the current installation so it will be handy to have the current ships prints available while answering these questions.  This will populate the "TDR-94/94D Pinout" tab which is intended to assist in creating an ADS-B wiring diagram.  Additionally, the "View of Connectors" tab is intended to help the installer understand which pins should have a contact installed and which pins should be Open.  The intention is to be used as a "quick reference" if troubleshooting becomes necessary.</t>
  </si>
  <si>
    <t>Answer                                                                               (Enter or Select from List to remove all yellow)</t>
  </si>
  <si>
    <t xml:space="preserve">Is a UAT ADS-B IN system installed or carried on by the crew? </t>
  </si>
  <si>
    <t>ADS-B In Capability</t>
  </si>
  <si>
    <t>P1-10</t>
  </si>
  <si>
    <t>P1-9</t>
  </si>
  <si>
    <t>UAT In</t>
  </si>
  <si>
    <t>1090ES In</t>
  </si>
  <si>
    <t>ADS-B Fail Disable</t>
  </si>
  <si>
    <t>B13</t>
  </si>
  <si>
    <t>B14</t>
  </si>
  <si>
    <t>Bit Weight</t>
  </si>
  <si>
    <t>Total (Decimal)</t>
  </si>
  <si>
    <t>Rev A</t>
  </si>
  <si>
    <t>Added ADS-B In (UAT and 1090ES) selections</t>
  </si>
  <si>
    <t xml:space="preserve">Is an 1090 ES ADS-B IN system installed or carried on by the crew? </t>
  </si>
  <si>
    <t>See ADS-B IN note above</t>
  </si>
  <si>
    <t>It is acceptable to indicate ADS-B IN (either or both UAT and 1090ES) capability depending on aircraft equipage or if carry on ADS-B IN equipment is utilized by the flight crew.  This will enable ownship information to be rebroadcast on the ADS-R and TIS-B uplinks (both UAT and 1090 MHz) making this aircraft visible on these devices.  Please only select those that are appropriate to conserve bandwith on the ADS-R and TIS-B uplinks.</t>
  </si>
  <si>
    <t>Rev B</t>
  </si>
  <si>
    <t>ADS-B RX/Fail Disable (MSB). Pin 9 and 10 are used in combination to set the external ADS-B Fial and the "TDR Fail" as well as the ADS-B In capability.  See above regarding ADS-B IN.</t>
  </si>
  <si>
    <t>ADS-B RX/Fail Disable (LSB). Pin 9 and 10 are used in combination to set the external ADS-B Fial and the "TDR Fail" as well as the ADS-B IN capability.  It is acceptable to indicate ADS-B IN (either or both UAT and 1090ES) capability depending on aircraft equipage or if carry on ADS-B IN equipment is utilized by the flight crew.  This will enable ownship information to be rebroadcast on the ADS-R and TIS-B uplinks (both UAT and 1090 MHz) making this aircraft visible on these devices.  Please only select those that are appropriate to conserve bandwith on the ADS-R and TIS-B uplinks.</t>
  </si>
  <si>
    <t>Corrected typo's on Entry Tab cell C13.  Corrected TCAS equation on TDR-94 94D Pinout Tab cell D17.  Clarified ADS-B IN strapping on TDR-94 94D Pinout tab, cells E13 and 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</si>
</sst>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4" formatCode="[$-409]mmmm\ d\,\ yyyy;@"/>
  </numFmts>
  <fonts count="16" x14ac:knownFonts="1">
    <font>
      <sz val="11"/>
      <color theme="1"/>
      <name val="Calibri"/>
      <family val="2"/>
      <scheme val="minor"/>
    </font>
    <font>
      <b/>
      <sz val="11"/>
      <color theme="1"/>
      <name val="Calibri"/>
      <family val="2"/>
      <scheme val="minor"/>
    </font>
    <font>
      <sz val="11"/>
      <name val="Calibri"/>
      <family val="2"/>
      <scheme val="minor"/>
    </font>
    <font>
      <sz val="11"/>
      <color theme="1"/>
      <name val="Calibri Light"/>
      <family val="1"/>
      <scheme val="major"/>
    </font>
    <font>
      <sz val="11"/>
      <color theme="0"/>
      <name val="Calibri"/>
      <family val="2"/>
      <scheme val="minor"/>
    </font>
    <font>
      <b/>
      <sz val="11"/>
      <color rgb="FFFF0000"/>
      <name val="Calibri"/>
      <family val="2"/>
      <scheme val="minor"/>
    </font>
    <font>
      <b/>
      <sz val="24"/>
      <color rgb="FFFF0000"/>
      <name val="Calibri"/>
      <family val="2"/>
      <scheme val="minor"/>
    </font>
    <font>
      <sz val="9"/>
      <color indexed="81"/>
      <name val="Tahoma"/>
      <family val="2"/>
    </font>
    <font>
      <b/>
      <sz val="9"/>
      <color indexed="81"/>
      <name val="Tahoma"/>
      <family val="2"/>
    </font>
    <font>
      <sz val="11"/>
      <color theme="4"/>
      <name val="Calibri"/>
      <family val="2"/>
      <scheme val="minor"/>
    </font>
    <font>
      <sz val="11"/>
      <color rgb="FF00B050"/>
      <name val="Calibri"/>
      <family val="2"/>
      <scheme val="minor"/>
    </font>
    <font>
      <sz val="11"/>
      <color rgb="FFA365D1"/>
      <name val="Calibri"/>
      <family val="2"/>
      <scheme val="minor"/>
    </font>
    <font>
      <b/>
      <sz val="24"/>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theme="9" tint="0.79998168889431442"/>
        <bgColor indexed="64"/>
      </patternFill>
    </fill>
    <fill>
      <patternFill patternType="solid">
        <fgColor theme="1"/>
        <bgColor indexed="64"/>
      </patternFill>
    </fill>
    <fill>
      <patternFill patternType="solid">
        <fgColor rgb="FFFF9933"/>
        <bgColor indexed="64"/>
      </patternFill>
    </fill>
    <fill>
      <patternFill patternType="solid">
        <fgColor rgb="FF00B050"/>
        <bgColor indexed="64"/>
      </patternFill>
    </fill>
    <fill>
      <patternFill patternType="solid">
        <fgColor rgb="FFA365D1"/>
        <bgColor indexed="64"/>
      </patternFill>
    </fill>
  </fills>
  <borders count="12">
    <border>
      <left/>
      <right/>
      <top/>
      <bottom/>
      <diagonal/>
    </border>
    <border>
      <left style="thin">
        <color auto="1"/>
      </left>
      <right style="thin">
        <color auto="1"/>
      </right>
      <top style="thin">
        <color auto="1"/>
      </top>
      <bottom style="thin">
        <color auto="1"/>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style="thick">
        <color theme="4" tint="0.79998168889431442"/>
      </left>
      <right style="thick">
        <color theme="4" tint="0.79998168889431442"/>
      </right>
      <top style="thick">
        <color theme="4" tint="0.79998168889431442"/>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style="medium">
        <color indexed="64"/>
      </left>
      <right/>
      <top style="medium">
        <color indexed="64"/>
      </top>
      <bottom style="medium">
        <color indexed="64"/>
      </bottom>
      <diagonal/>
    </border>
    <border>
      <left style="thin">
        <color indexed="64"/>
      </left>
      <right/>
      <top/>
      <bottom/>
      <diagonal/>
    </border>
  </borders>
  <cellStyleXfs count="2">
    <xf numFmtId="0" fontId="0" fillId="0" borderId="0"/>
    <xf numFmtId="0" fontId="13" fillId="0" borderId="0" applyNumberFormat="0" applyFill="0" applyBorder="0" applyAlignment="0" applyProtection="0"/>
  </cellStyleXfs>
  <cellXfs count="135">
    <xf numFmtId="0" fontId="0" fillId="0" borderId="0" xfId="0"/>
    <xf numFmtId="0" fontId="1" fillId="0" borderId="0" xfId="0" applyFont="1" applyAlignment="1">
      <alignment horizontal="center"/>
    </xf>
    <xf numFmtId="0" fontId="0" fillId="0" borderId="0" xfId="0" applyAlignment="1">
      <alignment horizontal="center" vertical="center"/>
    </xf>
    <xf numFmtId="0" fontId="5" fillId="0" borderId="0" xfId="0" applyFont="1" applyAlignment="1">
      <alignment horizontal="center" vertical="center"/>
    </xf>
    <xf numFmtId="49" fontId="0" fillId="0" borderId="0" xfId="0" quotePrefix="1" applyNumberFormat="1" applyFont="1" applyAlignment="1">
      <alignment horizontal="center" vertical="center"/>
    </xf>
    <xf numFmtId="0" fontId="0" fillId="0" borderId="0" xfId="0" applyFont="1"/>
    <xf numFmtId="0" fontId="0" fillId="0" borderId="0" xfId="0" applyAlignment="1">
      <alignment horizontal="center"/>
    </xf>
    <xf numFmtId="0" fontId="0" fillId="0" borderId="0" xfId="0" applyAlignment="1">
      <alignment vertical="center"/>
    </xf>
    <xf numFmtId="0" fontId="0" fillId="0" borderId="0" xfId="0" quotePrefix="1" applyAlignment="1">
      <alignment vertical="center"/>
    </xf>
    <xf numFmtId="0" fontId="0" fillId="0" borderId="0" xfId="0" quotePrefix="1" applyAlignment="1">
      <alignment horizontal="center" vertical="center"/>
    </xf>
    <xf numFmtId="49" fontId="0" fillId="0" borderId="0" xfId="0" applyNumberFormat="1" applyFont="1"/>
    <xf numFmtId="49" fontId="0" fillId="0" borderId="0" xfId="0" applyNumberFormat="1" applyFont="1" applyAlignment="1">
      <alignment horizontal="center"/>
    </xf>
    <xf numFmtId="0" fontId="0" fillId="0" borderId="0" xfId="0" applyNumberFormat="1" applyFont="1"/>
    <xf numFmtId="0" fontId="0" fillId="0" borderId="0" xfId="0" applyNumberFormat="1" applyFont="1" applyAlignment="1">
      <alignment horizontal="center"/>
    </xf>
    <xf numFmtId="0" fontId="0" fillId="0" borderId="0" xfId="0" quotePrefix="1" applyNumberFormat="1" applyFont="1" applyAlignment="1">
      <alignment horizontal="center" vertical="center"/>
    </xf>
    <xf numFmtId="0" fontId="0" fillId="0" borderId="0" xfId="0" quotePrefix="1" applyAlignment="1">
      <alignment horizontal="left" vertical="center"/>
    </xf>
    <xf numFmtId="0" fontId="0" fillId="0" borderId="0" xfId="0" applyAlignment="1">
      <alignment horizontal="left" vertical="center" wrapText="1"/>
    </xf>
    <xf numFmtId="0" fontId="0" fillId="5" borderId="4" xfId="0" applyFill="1" applyBorder="1"/>
    <xf numFmtId="0" fontId="0" fillId="0" borderId="4" xfId="0" applyBorder="1" applyAlignment="1">
      <alignment horizontal="center" vertical="center"/>
    </xf>
    <xf numFmtId="0" fontId="0" fillId="0" borderId="4" xfId="0" applyBorder="1"/>
    <xf numFmtId="0" fontId="1" fillId="7" borderId="2" xfId="0" applyFont="1" applyFill="1" applyBorder="1" applyAlignment="1">
      <alignment horizontal="center" vertical="center"/>
    </xf>
    <xf numFmtId="0" fontId="1" fillId="0" borderId="2" xfId="0" applyFont="1" applyBorder="1" applyAlignment="1">
      <alignment vertical="center"/>
    </xf>
    <xf numFmtId="0" fontId="0" fillId="0" borderId="2" xfId="0" applyBorder="1" applyAlignment="1">
      <alignment horizontal="center" vertical="center"/>
    </xf>
    <xf numFmtId="0" fontId="0" fillId="0" borderId="2" xfId="0" applyBorder="1" applyAlignment="1">
      <alignment vertical="center"/>
    </xf>
    <xf numFmtId="49" fontId="1" fillId="0" borderId="2" xfId="0" applyNumberFormat="1" applyFont="1" applyBorder="1" applyAlignment="1">
      <alignment vertical="center"/>
    </xf>
    <xf numFmtId="49" fontId="1" fillId="5" borderId="2" xfId="0" applyNumberFormat="1" applyFont="1" applyFill="1" applyBorder="1" applyAlignment="1">
      <alignment vertical="center"/>
    </xf>
    <xf numFmtId="0" fontId="0" fillId="5" borderId="2" xfId="0" applyFill="1" applyBorder="1" applyAlignment="1">
      <alignment horizontal="center" vertical="center"/>
    </xf>
    <xf numFmtId="0" fontId="0" fillId="5" borderId="2" xfId="0" applyFill="1" applyBorder="1" applyAlignment="1">
      <alignment vertical="center"/>
    </xf>
    <xf numFmtId="0" fontId="1" fillId="5" borderId="2" xfId="0" applyFont="1" applyFill="1" applyBorder="1" applyAlignment="1">
      <alignment horizontal="left" vertical="center"/>
    </xf>
    <xf numFmtId="0" fontId="1" fillId="0" borderId="2" xfId="0" applyFont="1" applyBorder="1" applyAlignment="1">
      <alignment horizontal="left" vertical="center"/>
    </xf>
    <xf numFmtId="0" fontId="1" fillId="8" borderId="2" xfId="0" applyFont="1" applyFill="1" applyBorder="1" applyAlignment="1">
      <alignment horizontal="left" vertical="center"/>
    </xf>
    <xf numFmtId="0" fontId="0" fillId="8" borderId="2" xfId="0" applyFill="1" applyBorder="1" applyAlignment="1">
      <alignment vertical="center"/>
    </xf>
    <xf numFmtId="0" fontId="1" fillId="2" borderId="2" xfId="0" applyFont="1" applyFill="1" applyBorder="1" applyAlignment="1">
      <alignment horizontal="left" vertical="center"/>
    </xf>
    <xf numFmtId="0" fontId="0" fillId="2" borderId="2" xfId="0" applyFill="1" applyBorder="1" applyAlignment="1">
      <alignment vertical="center"/>
    </xf>
    <xf numFmtId="0" fontId="0" fillId="0" borderId="0" xfId="0" applyFont="1" applyAlignment="1">
      <alignment horizontal="center" vertical="center"/>
    </xf>
    <xf numFmtId="0" fontId="0" fillId="0" borderId="2" xfId="0" applyFill="1" applyBorder="1" applyAlignment="1">
      <alignment horizontal="center" vertical="center"/>
    </xf>
    <xf numFmtId="0" fontId="0" fillId="0" borderId="8" xfId="0" applyBorder="1"/>
    <xf numFmtId="0" fontId="0" fillId="0" borderId="7" xfId="0" applyBorder="1"/>
    <xf numFmtId="0" fontId="0" fillId="10" borderId="9" xfId="0" applyFill="1" applyBorder="1"/>
    <xf numFmtId="0" fontId="0" fillId="0" borderId="10" xfId="0" applyFill="1" applyBorder="1"/>
    <xf numFmtId="0" fontId="0" fillId="10" borderId="10" xfId="0" applyFill="1" applyBorder="1"/>
    <xf numFmtId="0" fontId="0" fillId="11" borderId="10" xfId="0" applyFill="1" applyBorder="1"/>
    <xf numFmtId="0" fontId="0" fillId="12" borderId="10" xfId="0" applyFill="1" applyBorder="1"/>
    <xf numFmtId="0" fontId="0" fillId="9" borderId="10" xfId="0" applyFill="1" applyBorder="1"/>
    <xf numFmtId="0" fontId="0" fillId="4" borderId="10" xfId="0" applyFill="1" applyBorder="1"/>
    <xf numFmtId="0" fontId="0" fillId="0" borderId="8" xfId="0" quotePrefix="1" applyBorder="1"/>
    <xf numFmtId="0" fontId="0" fillId="0" borderId="8" xfId="0" applyBorder="1" applyAlignment="1">
      <alignment horizontal="center" vertical="center"/>
    </xf>
    <xf numFmtId="0" fontId="13" fillId="0" borderId="0" xfId="1"/>
    <xf numFmtId="0" fontId="0" fillId="0" borderId="0" xfId="0" applyAlignment="1">
      <alignment horizontal="left" vertical="center" indent="1"/>
    </xf>
    <xf numFmtId="0" fontId="13" fillId="0" borderId="0" xfId="1" applyAlignment="1">
      <alignment horizontal="left" vertical="center" indent="1"/>
    </xf>
    <xf numFmtId="8" fontId="13" fillId="0" borderId="0" xfId="1" applyNumberFormat="1" applyAlignment="1">
      <alignment horizontal="left" vertical="center" indent="1"/>
    </xf>
    <xf numFmtId="0" fontId="13" fillId="0" borderId="0" xfId="1" applyAlignment="1">
      <alignment vertical="center"/>
    </xf>
    <xf numFmtId="6" fontId="13" fillId="0" borderId="0" xfId="1" applyNumberFormat="1" applyAlignment="1">
      <alignment horizontal="left" vertical="center" indent="1"/>
    </xf>
    <xf numFmtId="0" fontId="12" fillId="0" borderId="0" xfId="0" applyFont="1" applyAlignment="1">
      <alignment vertical="center"/>
    </xf>
    <xf numFmtId="0" fontId="0" fillId="0" borderId="1" xfId="0" applyFont="1" applyBorder="1" applyAlignment="1">
      <alignment horizontal="center" vertical="center"/>
    </xf>
    <xf numFmtId="0" fontId="15" fillId="0" borderId="1" xfId="0" applyFont="1" applyBorder="1" applyAlignment="1">
      <alignment vertical="center" wrapText="1"/>
    </xf>
    <xf numFmtId="0" fontId="15" fillId="0" borderId="0" xfId="0" applyFont="1" applyAlignment="1">
      <alignment vertical="center" wrapText="1"/>
    </xf>
    <xf numFmtId="49" fontId="15" fillId="0" borderId="1" xfId="0" applyNumberFormat="1" applyFont="1" applyBorder="1" applyAlignment="1">
      <alignment vertical="center" wrapText="1"/>
    </xf>
    <xf numFmtId="0" fontId="0" fillId="0" borderId="0" xfId="0" applyFont="1" applyFill="1"/>
    <xf numFmtId="0" fontId="2" fillId="0" borderId="1" xfId="0" applyFont="1" applyBorder="1" applyAlignment="1">
      <alignment vertical="center" wrapText="1"/>
    </xf>
    <xf numFmtId="0" fontId="15" fillId="0" borderId="1" xfId="0" applyFont="1" applyBorder="1" applyAlignment="1">
      <alignment horizontal="left" vertical="center" wrapText="1" indent="1"/>
    </xf>
    <xf numFmtId="0" fontId="15" fillId="0" borderId="0" xfId="0" applyFont="1" applyFill="1" applyBorder="1" applyAlignment="1">
      <alignment vertical="center" wrapText="1"/>
    </xf>
    <xf numFmtId="0" fontId="15" fillId="0" borderId="0" xfId="0" applyFont="1" applyBorder="1" applyAlignment="1">
      <alignment vertical="center" wrapText="1"/>
    </xf>
    <xf numFmtId="0" fontId="1" fillId="5" borderId="2" xfId="0" applyFont="1" applyFill="1" applyBorder="1" applyAlignment="1">
      <alignment vertical="center"/>
    </xf>
    <xf numFmtId="0" fontId="1" fillId="0" borderId="1" xfId="0" applyFont="1" applyBorder="1"/>
    <xf numFmtId="0" fontId="0" fillId="0" borderId="1" xfId="0" applyBorder="1"/>
    <xf numFmtId="0" fontId="1" fillId="0" borderId="1" xfId="0" applyFont="1" applyBorder="1" applyAlignment="1">
      <alignment horizontal="center"/>
    </xf>
    <xf numFmtId="0" fontId="0" fillId="0" borderId="1" xfId="0" applyNumberFormat="1" applyFont="1" applyBorder="1"/>
    <xf numFmtId="0" fontId="0" fillId="0" borderId="1" xfId="0" applyNumberFormat="1" applyFont="1" applyBorder="1" applyAlignment="1">
      <alignment horizontal="center"/>
    </xf>
    <xf numFmtId="0" fontId="0" fillId="0" borderId="1" xfId="0" applyFont="1" applyBorder="1" applyAlignment="1">
      <alignment horizontal="center"/>
    </xf>
    <xf numFmtId="0" fontId="0" fillId="0" borderId="1" xfId="0" quotePrefix="1" applyNumberFormat="1" applyFont="1" applyBorder="1" applyAlignment="1">
      <alignment horizontal="center" vertical="center"/>
    </xf>
    <xf numFmtId="49" fontId="0" fillId="0" borderId="1" xfId="0" quotePrefix="1" applyNumberFormat="1" applyFont="1" applyBorder="1" applyAlignment="1">
      <alignment horizontal="center" vertical="center"/>
    </xf>
    <xf numFmtId="0" fontId="0" fillId="0" borderId="1" xfId="0" quotePrefix="1" applyFont="1" applyBorder="1" applyAlignment="1">
      <alignment horizontal="center" vertical="center"/>
    </xf>
    <xf numFmtId="0" fontId="0" fillId="0" borderId="1" xfId="0" quotePrefix="1" applyFont="1" applyBorder="1" applyAlignment="1">
      <alignment horizontal="left" vertical="center"/>
    </xf>
    <xf numFmtId="0" fontId="0" fillId="0" borderId="1" xfId="0" applyFont="1" applyBorder="1"/>
    <xf numFmtId="0" fontId="0" fillId="0" borderId="1" xfId="0" applyFont="1" applyBorder="1" applyAlignment="1">
      <alignment horizontal="left"/>
    </xf>
    <xf numFmtId="0" fontId="0" fillId="0" borderId="1" xfId="0" applyBorder="1" applyAlignment="1">
      <alignment horizontal="center"/>
    </xf>
    <xf numFmtId="0" fontId="1" fillId="0" borderId="1" xfId="0" applyFont="1" applyBorder="1" applyAlignment="1">
      <alignment horizontal="center" vertical="center"/>
    </xf>
    <xf numFmtId="0" fontId="0" fillId="5"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vertical="center" wrapText="1"/>
    </xf>
    <xf numFmtId="0" fontId="0" fillId="5"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6" borderId="1" xfId="0" applyFont="1" applyFill="1" applyBorder="1" applyAlignment="1" applyProtection="1">
      <alignment horizontal="center" vertical="center" wrapText="1"/>
      <protection hidden="1"/>
    </xf>
    <xf numFmtId="0" fontId="0" fillId="0" borderId="1" xfId="0" quotePrefix="1" applyBorder="1" applyAlignment="1" applyProtection="1">
      <alignment horizontal="center" vertical="center"/>
      <protection hidden="1"/>
    </xf>
    <xf numFmtId="0" fontId="0" fillId="5" borderId="1" xfId="0" quotePrefix="1" applyFill="1" applyBorder="1" applyAlignment="1" applyProtection="1">
      <alignment horizontal="center" vertical="center"/>
      <protection hidden="1"/>
    </xf>
    <xf numFmtId="0" fontId="0" fillId="0" borderId="1" xfId="0" quotePrefix="1"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0" fontId="0" fillId="3" borderId="1" xfId="0" quotePrefix="1" applyFill="1" applyBorder="1" applyAlignment="1" applyProtection="1">
      <alignment vertical="center"/>
      <protection hidden="1"/>
    </xf>
    <xf numFmtId="0" fontId="0" fillId="4" borderId="1" xfId="0" quotePrefix="1" applyFill="1" applyBorder="1" applyAlignment="1" applyProtection="1">
      <alignment vertical="center"/>
      <protection hidden="1"/>
    </xf>
    <xf numFmtId="0" fontId="0" fillId="0" borderId="1" xfId="0" applyFont="1" applyFill="1" applyBorder="1" applyAlignment="1" applyProtection="1">
      <alignment horizontal="center" vertical="center" wrapText="1"/>
      <protection hidden="1"/>
    </xf>
    <xf numFmtId="0" fontId="0" fillId="0" borderId="1" xfId="0" quotePrefix="1" applyBorder="1" applyAlignment="1" applyProtection="1">
      <alignment horizontal="center" vertical="center" wrapText="1"/>
      <protection hidden="1"/>
    </xf>
    <xf numFmtId="0" fontId="4" fillId="0" borderId="2" xfId="0" applyFont="1" applyBorder="1" applyProtection="1">
      <protection hidden="1"/>
    </xf>
    <xf numFmtId="0" fontId="0" fillId="0" borderId="0" xfId="0" quotePrefix="1" applyProtection="1">
      <protection hidden="1"/>
    </xf>
    <xf numFmtId="0" fontId="4" fillId="0" borderId="8" xfId="0" applyFont="1" applyBorder="1" applyProtection="1">
      <protection hidden="1"/>
    </xf>
    <xf numFmtId="0" fontId="10" fillId="11" borderId="8" xfId="0" applyFont="1" applyFill="1" applyBorder="1" applyProtection="1">
      <protection hidden="1"/>
    </xf>
    <xf numFmtId="0" fontId="9" fillId="4" borderId="8" xfId="0" applyFont="1" applyFill="1" applyBorder="1" applyProtection="1">
      <protection hidden="1"/>
    </xf>
    <xf numFmtId="0" fontId="11" fillId="12" borderId="8" xfId="0" applyFont="1" applyFill="1" applyBorder="1" applyProtection="1">
      <protection hidden="1"/>
    </xf>
    <xf numFmtId="0" fontId="0" fillId="9" borderId="8" xfId="0" applyFont="1" applyFill="1" applyBorder="1" applyProtection="1">
      <protection hidden="1"/>
    </xf>
    <xf numFmtId="164" fontId="0" fillId="0" borderId="0" xfId="0" applyNumberFormat="1" applyAlignment="1">
      <alignment horizontal="center"/>
    </xf>
    <xf numFmtId="0" fontId="1" fillId="0" borderId="0" xfId="0" applyFont="1" applyAlignment="1">
      <alignment horizontal="left"/>
    </xf>
    <xf numFmtId="0" fontId="0" fillId="0" borderId="0" xfId="0" applyBorder="1" applyAlignment="1">
      <alignment horizontal="left" vertical="center" wrapText="1"/>
    </xf>
    <xf numFmtId="0" fontId="1" fillId="7" borderId="6" xfId="0" applyFont="1" applyFill="1" applyBorder="1" applyAlignment="1">
      <alignment horizontal="center" vertical="center"/>
    </xf>
    <xf numFmtId="0" fontId="3" fillId="5" borderId="1" xfId="0" applyFont="1" applyFill="1" applyBorder="1" applyAlignment="1">
      <alignment vertical="center" wrapText="1"/>
    </xf>
    <xf numFmtId="0" fontId="0" fillId="0" borderId="1" xfId="0" applyFill="1" applyBorder="1" applyAlignment="1">
      <alignment vertical="center" wrapText="1"/>
    </xf>
    <xf numFmtId="0" fontId="0" fillId="0" borderId="1" xfId="0" applyFont="1" applyFill="1" applyBorder="1" applyAlignment="1">
      <alignment horizontal="left" vertical="center" wrapText="1"/>
    </xf>
    <xf numFmtId="0" fontId="0" fillId="5" borderId="1" xfId="0" applyFill="1" applyBorder="1" applyAlignment="1">
      <alignment vertical="center" wrapText="1"/>
    </xf>
    <xf numFmtId="0" fontId="0" fillId="4" borderId="1" xfId="0" applyFill="1" applyBorder="1" applyAlignment="1">
      <alignment vertical="center" wrapText="1"/>
    </xf>
    <xf numFmtId="0" fontId="0" fillId="3" borderId="1" xfId="0" applyFill="1" applyBorder="1" applyAlignment="1">
      <alignment vertical="center" wrapText="1"/>
    </xf>
    <xf numFmtId="0" fontId="0" fillId="0" borderId="1" xfId="0" quotePrefix="1" applyBorder="1" applyAlignment="1">
      <alignment vertical="center" wrapText="1"/>
    </xf>
    <xf numFmtId="0" fontId="1" fillId="7" borderId="6" xfId="0" applyFont="1" applyFill="1" applyBorder="1" applyAlignment="1">
      <alignment horizontal="center" vertical="center" wrapText="1"/>
    </xf>
    <xf numFmtId="0" fontId="0" fillId="5" borderId="2" xfId="0" applyFill="1" applyBorder="1" applyAlignment="1">
      <alignment vertical="center" wrapText="1"/>
    </xf>
    <xf numFmtId="0" fontId="0" fillId="0" borderId="0" xfId="0" applyAlignment="1">
      <alignment wrapText="1"/>
    </xf>
    <xf numFmtId="0" fontId="0" fillId="0" borderId="2" xfId="0" applyBorder="1" applyAlignment="1">
      <alignment horizontal="left" vertical="center" wrapText="1"/>
    </xf>
    <xf numFmtId="0" fontId="1" fillId="2" borderId="2" xfId="0" applyFont="1" applyFill="1" applyBorder="1" applyAlignment="1">
      <alignment horizontal="center" vertical="center" wrapText="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8" borderId="2" xfId="0" applyFill="1" applyBorder="1" applyAlignment="1">
      <alignment horizontal="left" vertical="center" wrapText="1"/>
    </xf>
    <xf numFmtId="0" fontId="1" fillId="8" borderId="2" xfId="0" applyFont="1" applyFill="1" applyBorder="1" applyAlignment="1">
      <alignment horizontal="center" vertical="center" wrapText="1"/>
    </xf>
    <xf numFmtId="0" fontId="1" fillId="0" borderId="8"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0" fillId="0" borderId="8" xfId="0" quotePrefix="1" applyBorder="1"/>
    <xf numFmtId="0" fontId="0" fillId="0" borderId="8" xfId="0" quotePrefix="1" applyFill="1" applyBorder="1"/>
    <xf numFmtId="0" fontId="0" fillId="5" borderId="1" xfId="0" applyFill="1" applyBorder="1"/>
    <xf numFmtId="0" fontId="1" fillId="0" borderId="0" xfId="0" applyFont="1" applyAlignment="1">
      <alignment horizontal="center" vertical="center"/>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 xfId="0" applyFont="1" applyBorder="1" applyAlignment="1">
      <alignment horizontal="center" vertical="center"/>
    </xf>
  </cellXfs>
  <cellStyles count="2">
    <cellStyle name="Hyperlink" xfId="1" builtinId="8"/>
    <cellStyle name="Normal" xfId="0" builtinId="0"/>
  </cellStyles>
  <dxfs count="37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ill>
        <gradientFill degree="90">
          <stop position="0">
            <color theme="0"/>
          </stop>
          <stop position="1">
            <color theme="4"/>
          </stop>
        </gradientFill>
      </fill>
    </dxf>
    <dxf>
      <font>
        <color theme="1"/>
      </font>
      <fill>
        <patternFill>
          <bgColor theme="1"/>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theme="4"/>
      </font>
      <fill>
        <patternFill>
          <bgColor theme="4"/>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ont>
        <color rgb="FFA365D1"/>
      </font>
      <fill>
        <patternFill>
          <bgColor rgb="FFA365D1"/>
        </patternFill>
      </fill>
    </dxf>
    <dxf>
      <font>
        <color rgb="FF00B050"/>
      </font>
      <fill>
        <patternFill>
          <bgColor rgb="FF00B050"/>
        </patternFill>
      </fill>
    </dxf>
    <dxf>
      <fill>
        <patternFill patternType="solid">
          <fgColor auto="1"/>
          <bgColor rgb="FFFF9933"/>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rgb="FFFF9900"/>
      </font>
      <fill>
        <patternFill patternType="solid">
          <fgColor auto="1"/>
          <bgColor rgb="FFFF9933"/>
        </pattern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ill>
        <gradientFill degree="90">
          <stop position="0">
            <color theme="0"/>
          </stop>
          <stop position="1">
            <color theme="4"/>
          </stop>
        </gradientFill>
      </fill>
    </dxf>
    <dxf>
      <font>
        <color theme="1"/>
      </font>
      <fill>
        <patternFill>
          <bgColor theme="1"/>
        </patternFill>
      </fill>
    </dxf>
    <dxf>
      <fill>
        <gradientFill degree="90">
          <stop position="0">
            <color theme="0"/>
          </stop>
          <stop position="1">
            <color theme="4"/>
          </stop>
        </gradientFill>
      </fill>
    </dxf>
    <dxf>
      <font>
        <color rgb="FFFF9900"/>
      </font>
      <fill>
        <patternFill patternType="solid">
          <fgColor auto="1"/>
          <bgColor rgb="FFFF993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34998626667073579"/>
      </font>
      <fill>
        <patternFill>
          <bgColor theme="0" tint="-0.34998626667073579"/>
        </patternFill>
      </fill>
    </dxf>
    <dxf>
      <fill>
        <patternFill>
          <bgColor rgb="FFFFFF00"/>
        </patternFill>
      </fill>
    </dxf>
    <dxf>
      <fill>
        <patternFill>
          <bgColor rgb="FFFFFF00"/>
        </patternFill>
      </fill>
    </dxf>
    <dxf>
      <font>
        <color theme="0" tint="-0.34998626667073579"/>
      </font>
      <fill>
        <patternFill>
          <bgColor theme="0" tint="-0.34998626667073579"/>
        </patternFill>
      </fill>
    </dxf>
    <dxf>
      <fill>
        <patternFill>
          <bgColor rgb="FFFFFF00"/>
        </patternFill>
      </fill>
    </dxf>
    <dxf>
      <fill>
        <patternFill>
          <bgColor rgb="FFFFFF00"/>
        </patternFill>
      </fill>
    </dxf>
    <dxf>
      <font>
        <color theme="0" tint="-0.34998626667073579"/>
      </font>
      <fill>
        <patternFill>
          <bgColor theme="0" tint="-0.34998626667073579"/>
        </patternFill>
      </fill>
    </dxf>
    <dxf>
      <fill>
        <patternFill>
          <bgColor rgb="FFFFFF00"/>
        </patternFill>
      </fill>
    </dxf>
    <dxf>
      <fill>
        <patternFill>
          <bgColor rgb="FFFFFF00"/>
        </patternFill>
      </fill>
    </dxf>
    <dxf>
      <font>
        <color theme="0" tint="-0.34998626667073579"/>
      </font>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34998626667073579"/>
      </font>
      <fill>
        <patternFill>
          <bgColor theme="0" tint="-0.34998626667073579"/>
        </patternFill>
      </fill>
    </dxf>
    <dxf>
      <font>
        <color theme="0" tint="-0.34998626667073579"/>
      </font>
      <fill>
        <patternFill>
          <bgColor theme="0" tint="-0.34998626667073579"/>
        </patternFill>
      </fill>
    </dxf>
  </dxfs>
  <tableStyles count="0" defaultTableStyle="TableStyleMedium2" defaultPivotStyle="PivotStyleLight16"/>
  <colors>
    <mruColors>
      <color rgb="FFA365D1"/>
      <color rgb="FFA3656D"/>
      <color rgb="FFB600F6"/>
      <color rgb="FFFF9933"/>
      <color rgb="FFFFCC99"/>
      <color rgb="FFFFCC66"/>
      <color rgb="FFFF9900"/>
      <color rgb="FFF67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335280</xdr:colOff>
      <xdr:row>1</xdr:row>
      <xdr:rowOff>30480</xdr:rowOff>
    </xdr:from>
    <xdr:to>
      <xdr:col>0</xdr:col>
      <xdr:colOff>3021396</xdr:colOff>
      <xdr:row>1</xdr:row>
      <xdr:rowOff>1463040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80" y="228600"/>
          <a:ext cx="2686116" cy="1432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59983</xdr:colOff>
      <xdr:row>4</xdr:row>
      <xdr:rowOff>68580</xdr:rowOff>
    </xdr:from>
    <xdr:to>
      <xdr:col>20</xdr:col>
      <xdr:colOff>40410</xdr:colOff>
      <xdr:row>34</xdr:row>
      <xdr:rowOff>152400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5663" y="1211580"/>
          <a:ext cx="4857227" cy="5844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273</xdr:row>
          <xdr:rowOff>0</xdr:rowOff>
        </xdr:from>
        <xdr:to>
          <xdr:col>6</xdr:col>
          <xdr:colOff>304800</xdr:colOff>
          <xdr:row>274</xdr:row>
          <xdr:rowOff>45720</xdr:rowOff>
        </xdr:to>
        <xdr:sp macro="" textlink="">
          <xdr:nvSpPr>
            <xdr:cNvPr id="2108" name="Control 60" hidden="1">
              <a:extLst>
                <a:ext uri="{63B3BB69-23CF-44E3-9099-C40C66FF867C}">
                  <a14:compatExt spid="_x0000_s2108"/>
                </a:ext>
              </a:extLst>
            </xdr:cNvPr>
            <xdr:cNvSpPr/>
          </xdr:nvSpPr>
          <xdr:spPr bwMode="auto">
            <a:xfrm>
              <a:off x="0" y="0"/>
              <a:ext cx="0" cy="0"/>
            </a:xfrm>
            <a:prstGeom prst="rect">
              <a:avLst/>
            </a:prstGeom>
            <a:noFill/>
            <a:ln w="9525">
              <a:miter lim="800000"/>
              <a:headEnd/>
              <a:tailEnd/>
            </a:ln>
            <a:effectLst/>
            <a:extLs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273</xdr:row>
          <xdr:rowOff>0</xdr:rowOff>
        </xdr:from>
        <xdr:to>
          <xdr:col>6</xdr:col>
          <xdr:colOff>175260</xdr:colOff>
          <xdr:row>273</xdr:row>
          <xdr:rowOff>167640</xdr:rowOff>
        </xdr:to>
        <xdr:sp macro="" textlink="">
          <xdr:nvSpPr>
            <xdr:cNvPr id="2109" name="Control 61" hidden="1">
              <a:extLst>
                <a:ext uri="{63B3BB69-23CF-44E3-9099-C40C66FF867C}">
                  <a14:compatExt spid="_x0000_s2109"/>
                </a:ext>
              </a:extLst>
            </xdr:cNvPr>
            <xdr:cNvSpPr/>
          </xdr:nvSpPr>
          <xdr:spPr bwMode="auto">
            <a:xfrm>
              <a:off x="0" y="0"/>
              <a:ext cx="0" cy="0"/>
            </a:xfrm>
            <a:prstGeom prst="rect">
              <a:avLst/>
            </a:prstGeom>
            <a:noFill/>
            <a:ln w="9525">
              <a:miter lim="800000"/>
              <a:headEnd/>
              <a:tailEnd/>
            </a:ln>
            <a:effectLst/>
            <a:extLs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editAs="oneCell">
    <xdr:from>
      <xdr:col>5</xdr:col>
      <xdr:colOff>0</xdr:colOff>
      <xdr:row>292</xdr:row>
      <xdr:rowOff>0</xdr:rowOff>
    </xdr:from>
    <xdr:to>
      <xdr:col>5</xdr:col>
      <xdr:colOff>304800</xdr:colOff>
      <xdr:row>293</xdr:row>
      <xdr:rowOff>121920</xdr:rowOff>
    </xdr:to>
    <xdr:sp macro="" textlink="">
      <xdr:nvSpPr>
        <xdr:cNvPr id="2111" name="AutoShape 63" descr="https://logs-01.loggly.com/inputs/9b965af4-52fb-46fa-be1b-8dc5fb0aad05/tag/jsinsight/1*1.gif?type=Media%20Source&amp;msg=markandgraham.com%20does%20not%20match%20http%3A%2F%2Fwww.williams-sonoma.com%2Fproducts%2Fcopper-rim-double-old-fashioned-glasses%2F%3Fpkey%3Dcbar-glasses%257Cbar-glasses-old-fashioneds%26%26cbar-glasses%7Cbar-glasses-old-fashioneds&amp;event=Base%20Domain%20Mismatch&amp;agent=Mozilla%2F5.0%20%28Windows%20NT%2010.0%3B%20WOW64%3B%20rv%3A50.0%29%20Gecko%2F20100101%20Firefox%2F50.0"/>
        <xdr:cNvSpPr>
          <a:spLocks noChangeAspect="1" noChangeArrowheads="1"/>
        </xdr:cNvSpPr>
      </xdr:nvSpPr>
      <xdr:spPr bwMode="auto">
        <a:xfrm>
          <a:off x="9677400" y="6108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3.emf"/><Relationship Id="rId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zoomScaleNormal="100" workbookViewId="0">
      <selection activeCell="B4" sqref="B4"/>
    </sheetView>
  </sheetViews>
  <sheetFormatPr defaultRowHeight="14.4" x14ac:dyDescent="0.3"/>
  <cols>
    <col min="1" max="1" width="56.33203125" customWidth="1"/>
    <col min="2" max="2" width="41.44140625" style="2" customWidth="1"/>
    <col min="3" max="3" width="78.5546875" customWidth="1"/>
    <col min="4" max="4" width="18.44140625" customWidth="1"/>
  </cols>
  <sheetData>
    <row r="1" spans="1:11" ht="15.6" thickTop="1" thickBot="1" x14ac:dyDescent="0.35">
      <c r="A1" s="17" t="s">
        <v>317</v>
      </c>
      <c r="B1" s="18"/>
      <c r="C1" s="19"/>
    </row>
    <row r="2" spans="1:11" ht="117" customHeight="1" thickTop="1" thickBot="1" x14ac:dyDescent="0.35">
      <c r="B2" s="117" t="s">
        <v>616</v>
      </c>
      <c r="C2" s="117"/>
      <c r="D2" s="105"/>
      <c r="G2" s="16"/>
      <c r="H2" s="16"/>
      <c r="I2" s="16"/>
      <c r="J2" s="16"/>
      <c r="K2" s="16"/>
    </row>
    <row r="3" spans="1:11" s="7" customFormat="1" ht="39.6" customHeight="1" thickTop="1" thickBot="1" x14ac:dyDescent="0.35">
      <c r="A3" s="20" t="s">
        <v>202</v>
      </c>
      <c r="B3" s="114" t="s">
        <v>617</v>
      </c>
      <c r="C3" s="106" t="s">
        <v>146</v>
      </c>
    </row>
    <row r="4" spans="1:11" s="7" customFormat="1" ht="19.95" customHeight="1" thickTop="1" thickBot="1" x14ac:dyDescent="0.35">
      <c r="A4" s="21" t="s">
        <v>199</v>
      </c>
      <c r="B4" s="22"/>
      <c r="C4" s="23" t="s">
        <v>225</v>
      </c>
    </row>
    <row r="5" spans="1:11" s="7" customFormat="1" ht="19.95" customHeight="1" thickTop="1" thickBot="1" x14ac:dyDescent="0.35">
      <c r="A5" s="21" t="s">
        <v>200</v>
      </c>
      <c r="B5" s="22"/>
      <c r="C5" s="23" t="s">
        <v>225</v>
      </c>
    </row>
    <row r="6" spans="1:11" s="7" customFormat="1" ht="19.95" customHeight="1" thickTop="1" thickBot="1" x14ac:dyDescent="0.35">
      <c r="A6" s="21" t="s">
        <v>201</v>
      </c>
      <c r="B6" s="22"/>
      <c r="C6" s="23" t="s">
        <v>225</v>
      </c>
    </row>
    <row r="7" spans="1:11" s="7" customFormat="1" ht="19.95" customHeight="1" thickTop="1" thickBot="1" x14ac:dyDescent="0.35">
      <c r="A7" s="24" t="s">
        <v>226</v>
      </c>
      <c r="B7" s="22"/>
      <c r="C7" s="23" t="s">
        <v>307</v>
      </c>
      <c r="E7" s="2"/>
    </row>
    <row r="8" spans="1:11" s="7" customFormat="1" ht="19.95" customHeight="1" thickTop="1" thickBot="1" x14ac:dyDescent="0.35">
      <c r="A8" s="25" t="s">
        <v>229</v>
      </c>
      <c r="B8" s="26" t="s">
        <v>262</v>
      </c>
      <c r="C8" s="27" t="s">
        <v>204</v>
      </c>
    </row>
    <row r="9" spans="1:11" s="7" customFormat="1" ht="19.95" customHeight="1" thickTop="1" thickBot="1" x14ac:dyDescent="0.35">
      <c r="A9" s="25" t="s">
        <v>154</v>
      </c>
      <c r="B9" s="26" t="s">
        <v>262</v>
      </c>
      <c r="C9" s="27" t="s">
        <v>205</v>
      </c>
    </row>
    <row r="10" spans="1:11" s="7" customFormat="1" ht="19.95" customHeight="1" thickTop="1" thickBot="1" x14ac:dyDescent="0.35">
      <c r="A10" s="63" t="s">
        <v>203</v>
      </c>
      <c r="B10" s="26" t="s">
        <v>262</v>
      </c>
      <c r="C10" s="27"/>
    </row>
    <row r="11" spans="1:11" s="7" customFormat="1" ht="19.95" customHeight="1" thickTop="1" thickBot="1" x14ac:dyDescent="0.35">
      <c r="A11" s="28" t="s">
        <v>263</v>
      </c>
      <c r="B11" s="26" t="s">
        <v>262</v>
      </c>
      <c r="C11" s="27" t="s">
        <v>608</v>
      </c>
    </row>
    <row r="12" spans="1:11" s="7" customFormat="1" ht="19.95" customHeight="1" thickTop="1" thickBot="1" x14ac:dyDescent="0.35">
      <c r="A12" s="28" t="s">
        <v>321</v>
      </c>
      <c r="B12" s="26" t="s">
        <v>262</v>
      </c>
      <c r="C12" s="27" t="s">
        <v>205</v>
      </c>
    </row>
    <row r="13" spans="1:11" s="7" customFormat="1" ht="73.2" thickTop="1" thickBot="1" x14ac:dyDescent="0.35">
      <c r="A13" s="28" t="s">
        <v>618</v>
      </c>
      <c r="B13" s="26" t="s">
        <v>262</v>
      </c>
      <c r="C13" s="115" t="s">
        <v>633</v>
      </c>
    </row>
    <row r="14" spans="1:11" s="7" customFormat="1" ht="19.95" customHeight="1" thickTop="1" thickBot="1" x14ac:dyDescent="0.35">
      <c r="A14" s="28" t="s">
        <v>631</v>
      </c>
      <c r="B14" s="26" t="s">
        <v>262</v>
      </c>
      <c r="C14" s="27" t="s">
        <v>632</v>
      </c>
    </row>
    <row r="15" spans="1:11" s="7" customFormat="1" ht="19.95" customHeight="1" thickTop="1" thickBot="1" x14ac:dyDescent="0.35">
      <c r="A15" s="29" t="s">
        <v>118</v>
      </c>
      <c r="B15" s="35" t="s">
        <v>262</v>
      </c>
      <c r="C15" s="23" t="s">
        <v>204</v>
      </c>
    </row>
    <row r="16" spans="1:11" s="7" customFormat="1" ht="19.95" customHeight="1" thickTop="1" thickBot="1" x14ac:dyDescent="0.35">
      <c r="A16" s="29" t="s">
        <v>14</v>
      </c>
      <c r="B16" s="35" t="s">
        <v>262</v>
      </c>
      <c r="C16" s="23" t="s">
        <v>204</v>
      </c>
    </row>
    <row r="17" spans="1:4" s="7" customFormat="1" ht="19.95" customHeight="1" thickTop="1" thickBot="1" x14ac:dyDescent="0.35">
      <c r="A17" s="29" t="s">
        <v>166</v>
      </c>
      <c r="B17" s="35" t="s">
        <v>262</v>
      </c>
      <c r="C17" s="23" t="s">
        <v>207</v>
      </c>
    </row>
    <row r="18" spans="1:4" s="7" customFormat="1" ht="19.95" customHeight="1" thickTop="1" thickBot="1" x14ac:dyDescent="0.35">
      <c r="A18" s="21" t="s">
        <v>208</v>
      </c>
      <c r="B18" s="35" t="s">
        <v>262</v>
      </c>
      <c r="C18" s="23" t="s">
        <v>204</v>
      </c>
    </row>
    <row r="19" spans="1:4" s="7" customFormat="1" ht="19.95" customHeight="1" thickTop="1" thickBot="1" x14ac:dyDescent="0.35">
      <c r="A19" s="21" t="s">
        <v>265</v>
      </c>
      <c r="B19" s="35" t="s">
        <v>262</v>
      </c>
      <c r="C19" s="23"/>
    </row>
    <row r="20" spans="1:4" s="7" customFormat="1" ht="19.95" customHeight="1" thickTop="1" thickBot="1" x14ac:dyDescent="0.35">
      <c r="A20" s="21" t="s">
        <v>290</v>
      </c>
      <c r="B20" s="35" t="s">
        <v>262</v>
      </c>
      <c r="C20" s="23"/>
    </row>
    <row r="21" spans="1:4" s="7" customFormat="1" ht="19.95" customHeight="1" thickTop="1" thickBot="1" x14ac:dyDescent="0.35">
      <c r="A21" s="21" t="s">
        <v>209</v>
      </c>
      <c r="B21" s="35" t="s">
        <v>262</v>
      </c>
      <c r="C21" s="23" t="s">
        <v>204</v>
      </c>
    </row>
    <row r="22" spans="1:4" s="7" customFormat="1" ht="19.95" customHeight="1" thickTop="1" thickBot="1" x14ac:dyDescent="0.35">
      <c r="A22" s="21" t="s">
        <v>210</v>
      </c>
      <c r="B22" s="35" t="s">
        <v>262</v>
      </c>
      <c r="C22" s="23" t="s">
        <v>204</v>
      </c>
    </row>
    <row r="23" spans="1:4" s="7" customFormat="1" ht="19.95" customHeight="1" thickTop="1" thickBot="1" x14ac:dyDescent="0.35">
      <c r="A23" s="21" t="s">
        <v>211</v>
      </c>
      <c r="B23" s="35" t="s">
        <v>262</v>
      </c>
      <c r="C23" s="23" t="s">
        <v>204</v>
      </c>
    </row>
    <row r="24" spans="1:4" s="7" customFormat="1" ht="19.95" customHeight="1" thickTop="1" thickBot="1" x14ac:dyDescent="0.35">
      <c r="A24" s="21" t="s">
        <v>212</v>
      </c>
      <c r="B24" s="35" t="s">
        <v>262</v>
      </c>
      <c r="C24" s="23" t="s">
        <v>204</v>
      </c>
    </row>
    <row r="25" spans="1:4" s="7" customFormat="1" ht="19.95" customHeight="1" thickTop="1" thickBot="1" x14ac:dyDescent="0.35">
      <c r="A25" s="30" t="s">
        <v>213</v>
      </c>
      <c r="B25" s="119" t="s">
        <v>262</v>
      </c>
      <c r="C25" s="121" t="s">
        <v>280</v>
      </c>
      <c r="D25" s="122" t="s">
        <v>318</v>
      </c>
    </row>
    <row r="26" spans="1:4" s="7" customFormat="1" ht="19.95" customHeight="1" thickTop="1" thickBot="1" x14ac:dyDescent="0.35">
      <c r="A26" s="30" t="s">
        <v>214</v>
      </c>
      <c r="B26" s="120"/>
      <c r="C26" s="121"/>
      <c r="D26" s="122"/>
    </row>
    <row r="27" spans="1:4" s="7" customFormat="1" ht="19.95" customHeight="1" thickTop="1" thickBot="1" x14ac:dyDescent="0.35">
      <c r="A27" s="30" t="s">
        <v>216</v>
      </c>
      <c r="B27" s="26" t="s">
        <v>262</v>
      </c>
      <c r="C27" s="31" t="s">
        <v>606</v>
      </c>
      <c r="D27" s="122"/>
    </row>
    <row r="28" spans="1:4" s="7" customFormat="1" ht="19.95" customHeight="1" thickTop="1" thickBot="1" x14ac:dyDescent="0.35">
      <c r="A28" s="30" t="s">
        <v>215</v>
      </c>
      <c r="B28" s="26" t="s">
        <v>262</v>
      </c>
      <c r="C28" s="31" t="s">
        <v>606</v>
      </c>
      <c r="D28" s="122"/>
    </row>
    <row r="29" spans="1:4" s="7" customFormat="1" ht="19.95" customHeight="1" thickTop="1" thickBot="1" x14ac:dyDescent="0.35">
      <c r="A29" s="30" t="s">
        <v>217</v>
      </c>
      <c r="B29" s="26" t="s">
        <v>262</v>
      </c>
      <c r="C29" s="31" t="s">
        <v>222</v>
      </c>
      <c r="D29" s="122"/>
    </row>
    <row r="30" spans="1:4" s="7" customFormat="1" ht="19.95" customHeight="1" thickTop="1" thickBot="1" x14ac:dyDescent="0.35">
      <c r="A30" s="32" t="s">
        <v>220</v>
      </c>
      <c r="B30" s="26" t="s">
        <v>262</v>
      </c>
      <c r="C30" s="33" t="s">
        <v>606</v>
      </c>
      <c r="D30" s="118" t="s">
        <v>319</v>
      </c>
    </row>
    <row r="31" spans="1:4" s="7" customFormat="1" ht="19.95" customHeight="1" thickTop="1" thickBot="1" x14ac:dyDescent="0.35">
      <c r="A31" s="32" t="s">
        <v>221</v>
      </c>
      <c r="B31" s="26" t="s">
        <v>262</v>
      </c>
      <c r="C31" s="33" t="s">
        <v>607</v>
      </c>
      <c r="D31" s="118"/>
    </row>
    <row r="32" spans="1:4" s="7" customFormat="1" ht="19.95" customHeight="1" thickTop="1" thickBot="1" x14ac:dyDescent="0.35">
      <c r="A32" s="32" t="s">
        <v>219</v>
      </c>
      <c r="B32" s="26" t="s">
        <v>262</v>
      </c>
      <c r="C32" s="33" t="s">
        <v>223</v>
      </c>
      <c r="D32" s="118"/>
    </row>
    <row r="33" spans="1:4" s="7" customFormat="1" ht="19.95" customHeight="1" thickTop="1" thickBot="1" x14ac:dyDescent="0.35">
      <c r="A33" s="32" t="s">
        <v>273</v>
      </c>
      <c r="B33" s="26" t="s">
        <v>262</v>
      </c>
      <c r="C33" s="33"/>
      <c r="D33" s="118"/>
    </row>
    <row r="34" spans="1:4" s="7" customFormat="1" ht="19.95" customHeight="1" thickTop="1" thickBot="1" x14ac:dyDescent="0.35">
      <c r="A34" s="32" t="s">
        <v>218</v>
      </c>
      <c r="B34" s="26" t="s">
        <v>262</v>
      </c>
      <c r="C34" s="33" t="s">
        <v>224</v>
      </c>
      <c r="D34" s="118"/>
    </row>
    <row r="35" spans="1:4" s="7" customFormat="1" ht="19.95" customHeight="1" thickTop="1" thickBot="1" x14ac:dyDescent="0.35">
      <c r="A35" s="32" t="s">
        <v>238</v>
      </c>
      <c r="B35" s="26" t="s">
        <v>262</v>
      </c>
      <c r="C35" s="33" t="s">
        <v>204</v>
      </c>
      <c r="D35" s="118"/>
    </row>
    <row r="36" spans="1:4" s="7" customFormat="1" ht="19.95" customHeight="1" thickTop="1" thickBot="1" x14ac:dyDescent="0.35">
      <c r="A36" s="21" t="s">
        <v>272</v>
      </c>
      <c r="B36" s="35" t="s">
        <v>262</v>
      </c>
      <c r="C36" s="23"/>
    </row>
    <row r="37" spans="1:4" s="7" customFormat="1" ht="19.95" customHeight="1" thickTop="1" x14ac:dyDescent="0.3">
      <c r="B37" s="2"/>
    </row>
    <row r="38" spans="1:4" s="7" customFormat="1" ht="19.95" customHeight="1" x14ac:dyDescent="0.3">
      <c r="B38" s="2"/>
    </row>
    <row r="39" spans="1:4" s="7" customFormat="1" ht="19.95" customHeight="1" x14ac:dyDescent="0.3">
      <c r="B39" s="2"/>
    </row>
    <row r="40" spans="1:4" s="7" customFormat="1" ht="19.95" customHeight="1" x14ac:dyDescent="0.3">
      <c r="B40" s="2"/>
    </row>
    <row r="41" spans="1:4" s="7" customFormat="1" ht="19.95" customHeight="1" x14ac:dyDescent="0.3">
      <c r="B41" s="2"/>
    </row>
    <row r="42" spans="1:4" s="7" customFormat="1" ht="19.95" customHeight="1" x14ac:dyDescent="0.3">
      <c r="B42" s="2"/>
    </row>
    <row r="43" spans="1:4" s="7" customFormat="1" ht="19.95" customHeight="1" x14ac:dyDescent="0.3">
      <c r="B43" s="2"/>
    </row>
    <row r="44" spans="1:4" s="7" customFormat="1" ht="19.95" customHeight="1" x14ac:dyDescent="0.3">
      <c r="B44" s="2"/>
    </row>
    <row r="45" spans="1:4" s="7" customFormat="1" ht="19.95" customHeight="1" x14ac:dyDescent="0.3">
      <c r="B45" s="2"/>
    </row>
    <row r="46" spans="1:4" s="7" customFormat="1" ht="19.95" customHeight="1" x14ac:dyDescent="0.3">
      <c r="B46" s="2"/>
    </row>
    <row r="47" spans="1:4" s="7" customFormat="1" ht="19.95" customHeight="1" x14ac:dyDescent="0.3">
      <c r="B47" s="2"/>
    </row>
    <row r="48" spans="1:4" s="7" customFormat="1" ht="19.95" customHeight="1" x14ac:dyDescent="0.3">
      <c r="B48" s="2"/>
    </row>
    <row r="49" spans="2:2" s="7" customFormat="1" ht="19.95" customHeight="1" x14ac:dyDescent="0.3">
      <c r="B49" s="2"/>
    </row>
    <row r="50" spans="2:2" s="7" customFormat="1" ht="19.95" customHeight="1" x14ac:dyDescent="0.3">
      <c r="B50" s="2"/>
    </row>
    <row r="51" spans="2:2" s="7" customFormat="1" ht="19.95" customHeight="1" x14ac:dyDescent="0.3">
      <c r="B51" s="2"/>
    </row>
    <row r="52" spans="2:2" s="7" customFormat="1" ht="19.95" customHeight="1" x14ac:dyDescent="0.3">
      <c r="B52" s="2"/>
    </row>
  </sheetData>
  <protectedRanges>
    <protectedRange sqref="B4:B36" name="Entry Tab Enties"/>
  </protectedRanges>
  <mergeCells count="5">
    <mergeCell ref="B2:C2"/>
    <mergeCell ref="D30:D35"/>
    <mergeCell ref="B25:B26"/>
    <mergeCell ref="C25:C26"/>
    <mergeCell ref="D25:D29"/>
  </mergeCells>
  <conditionalFormatting sqref="A25:A29 C25:C29">
    <cfRule type="expression" dxfId="371" priority="30" stopIfTrue="1">
      <formula>$B$10="Integrated Pro Line IV or 21"</formula>
    </cfRule>
  </conditionalFormatting>
  <conditionalFormatting sqref="A30:C35">
    <cfRule type="expression" dxfId="370" priority="3" stopIfTrue="1">
      <formula>NOT($B$10="Integrated Pro Line IV or 21")</formula>
    </cfRule>
  </conditionalFormatting>
  <conditionalFormatting sqref="B4">
    <cfRule type="expression" dxfId="369" priority="44" stopIfTrue="1">
      <formula>CELL("type",B4)="b"</formula>
    </cfRule>
  </conditionalFormatting>
  <conditionalFormatting sqref="B5">
    <cfRule type="expression" dxfId="368" priority="43" stopIfTrue="1">
      <formula>CELL("type",B5)="b"</formula>
    </cfRule>
  </conditionalFormatting>
  <conditionalFormatting sqref="B6">
    <cfRule type="expression" dxfId="367" priority="42" stopIfTrue="1">
      <formula>CELL("type",B6)="b"</formula>
    </cfRule>
  </conditionalFormatting>
  <conditionalFormatting sqref="B7">
    <cfRule type="expression" dxfId="366" priority="41" stopIfTrue="1">
      <formula>CELL("type",B7)="b"</formula>
    </cfRule>
  </conditionalFormatting>
  <conditionalFormatting sqref="B8">
    <cfRule type="expression" dxfId="365" priority="34" stopIfTrue="1">
      <formula>CELL("type",B8)="b"</formula>
    </cfRule>
    <cfRule type="expression" dxfId="364" priority="40" stopIfTrue="1">
      <formula>CELL("contents",B8)="&lt;Make Selection&gt;"</formula>
    </cfRule>
  </conditionalFormatting>
  <conditionalFormatting sqref="B16:B24 B9:B13">
    <cfRule type="expression" dxfId="363" priority="32" stopIfTrue="1">
      <formula>CELL("type",B8)="b"</formula>
    </cfRule>
    <cfRule type="expression" dxfId="362" priority="33" stopIfTrue="1">
      <formula>CELL("contents",B9)="&lt;Make Selection&gt;"</formula>
    </cfRule>
  </conditionalFormatting>
  <conditionalFormatting sqref="B27">
    <cfRule type="expression" dxfId="361" priority="27" stopIfTrue="1">
      <formula>$B$10="Integrated Pro Line IV or 21"</formula>
    </cfRule>
    <cfRule type="expression" dxfId="360" priority="28" stopIfTrue="1">
      <formula>CELL("type",B27)="b"</formula>
    </cfRule>
    <cfRule type="expression" dxfId="359" priority="29" stopIfTrue="1">
      <formula>CELL("contents",B27)="&lt;Make Selection&gt;"</formula>
    </cfRule>
  </conditionalFormatting>
  <conditionalFormatting sqref="B28">
    <cfRule type="expression" dxfId="358" priority="24" stopIfTrue="1">
      <formula>$B$10="Integrated Pro Line IV or 21"</formula>
    </cfRule>
    <cfRule type="expression" dxfId="357" priority="25" stopIfTrue="1">
      <formula>CELL("type",B28)="b"</formula>
    </cfRule>
    <cfRule type="expression" dxfId="356" priority="26" stopIfTrue="1">
      <formula>CELL("contents",B28)="&lt;Make Selection&gt;"</formula>
    </cfRule>
  </conditionalFormatting>
  <conditionalFormatting sqref="B29">
    <cfRule type="expression" dxfId="355" priority="21" stopIfTrue="1">
      <formula>$B$10="Integrated Pro Line IV or 21"</formula>
    </cfRule>
    <cfRule type="expression" dxfId="354" priority="22" stopIfTrue="1">
      <formula>CELL("type",B29)="b"</formula>
    </cfRule>
    <cfRule type="expression" dxfId="353" priority="23" stopIfTrue="1">
      <formula>CELL("contents",B29)="&lt;Make Selection&gt;"</formula>
    </cfRule>
  </conditionalFormatting>
  <conditionalFormatting sqref="B25">
    <cfRule type="expression" dxfId="352" priority="18" stopIfTrue="1">
      <formula>$B$10="Integrated Pro Line IV or 21"</formula>
    </cfRule>
    <cfRule type="expression" dxfId="351" priority="19" stopIfTrue="1">
      <formula>CELL("type",B25)="b"</formula>
    </cfRule>
    <cfRule type="expression" dxfId="350" priority="20" stopIfTrue="1">
      <formula>CELL("contents",B25)="&lt;Make Selection&gt;"</formula>
    </cfRule>
  </conditionalFormatting>
  <conditionalFormatting sqref="B30">
    <cfRule type="expression" dxfId="349" priority="45" stopIfTrue="1">
      <formula>CELL("type",B30)="b"</formula>
    </cfRule>
    <cfRule type="expression" dxfId="348" priority="46" stopIfTrue="1">
      <formula>CELL("contents",B30)="&lt;Make Selection&gt;"</formula>
    </cfRule>
  </conditionalFormatting>
  <conditionalFormatting sqref="B31">
    <cfRule type="expression" dxfId="347" priority="12" stopIfTrue="1">
      <formula>CELL("type",B31)="b"</formula>
    </cfRule>
    <cfRule type="expression" dxfId="346" priority="14" stopIfTrue="1">
      <formula>CELL("contents",B31)="&lt;Make Selection&gt;"</formula>
    </cfRule>
  </conditionalFormatting>
  <conditionalFormatting sqref="B32">
    <cfRule type="expression" dxfId="345" priority="10" stopIfTrue="1">
      <formula>CELL("type",B32)="b"</formula>
    </cfRule>
    <cfRule type="expression" dxfId="344" priority="11" stopIfTrue="1">
      <formula>CELL("contents",B32)="&lt;Make Selection&gt;"</formula>
    </cfRule>
  </conditionalFormatting>
  <conditionalFormatting sqref="B33">
    <cfRule type="expression" dxfId="343" priority="8" stopIfTrue="1">
      <formula>CELL("type",B33)="b"</formula>
    </cfRule>
    <cfRule type="expression" dxfId="342" priority="9" stopIfTrue="1">
      <formula>CELL("contents",B33)="&lt;Make Selection&gt;"</formula>
    </cfRule>
  </conditionalFormatting>
  <conditionalFormatting sqref="B34">
    <cfRule type="expression" dxfId="341" priority="6" stopIfTrue="1">
      <formula>CELL("type",B34)="b"</formula>
    </cfRule>
    <cfRule type="expression" dxfId="340" priority="7" stopIfTrue="1">
      <formula>CELL("contents",B34)="&lt;Make Selection&gt;"</formula>
    </cfRule>
  </conditionalFormatting>
  <conditionalFormatting sqref="B35">
    <cfRule type="expression" dxfId="339" priority="4" stopIfTrue="1">
      <formula>CELL("type",B35)="b"</formula>
    </cfRule>
    <cfRule type="expression" dxfId="338" priority="5" stopIfTrue="1">
      <formula>CELL("contents",B35)="&lt;Make Selection&gt;"</formula>
    </cfRule>
  </conditionalFormatting>
  <conditionalFormatting sqref="B36">
    <cfRule type="expression" dxfId="337" priority="1" stopIfTrue="1">
      <formula>CELL("type",B35)="b"</formula>
    </cfRule>
    <cfRule type="expression" dxfId="336" priority="2" stopIfTrue="1">
      <formula>CELL("contents",B36)="&lt;Make Selection&gt;"</formula>
    </cfRule>
  </conditionalFormatting>
  <conditionalFormatting sqref="B15">
    <cfRule type="expression" dxfId="335" priority="391" stopIfTrue="1">
      <formula>CELL("type",B12)="b"</formula>
    </cfRule>
    <cfRule type="expression" dxfId="334" priority="392" stopIfTrue="1">
      <formula>CELL("contents",B15)="&lt;Make Selection&gt;"</formula>
    </cfRule>
  </conditionalFormatting>
  <conditionalFormatting sqref="B14">
    <cfRule type="expression" dxfId="333" priority="395" stopIfTrue="1">
      <formula>CELL("type",B12)="b"</formula>
    </cfRule>
    <cfRule type="expression" dxfId="332" priority="396" stopIfTrue="1">
      <formula>CELL("contents",B14)="&lt;Make Selection&gt;"</formula>
    </cfRule>
  </conditionalFormatting>
  <dataValidations count="9">
    <dataValidation type="list" allowBlank="1" showErrorMessage="1" sqref="B34 B21:B25 B27:B32">
      <formula1>High_Speed</formula1>
    </dataValidation>
    <dataValidation type="list" allowBlank="1" showInputMessage="1" showErrorMessage="1" sqref="B12">
      <formula1>GPS_Offset</formula1>
    </dataValidation>
    <dataValidation type="list" allowBlank="1" showInputMessage="1" showErrorMessage="1" sqref="B16">
      <formula1>Antenna_Dual_Single</formula1>
    </dataValidation>
    <dataValidation type="list" allowBlank="1" showInputMessage="1" showErrorMessage="1" sqref="B17">
      <formula1>SDI</formula1>
    </dataValidation>
    <dataValidation type="list" allowBlank="1" showInputMessage="1" showErrorMessage="1" sqref="B18">
      <formula1>Controller_Type</formula1>
    </dataValidation>
    <dataValidation type="list" allowBlank="1" showInputMessage="1" showErrorMessage="1" sqref="B35">
      <formula1>ATS_Dual_Triple</formula1>
    </dataValidation>
    <dataValidation type="list" allowBlank="1" showInputMessage="1" showErrorMessage="1" sqref="B9">
      <formula1>Aircaft_Category_Type</formula1>
    </dataValidation>
    <dataValidation type="list" allowBlank="1" showInputMessage="1" showErrorMessage="1" sqref="B10">
      <formula1>Fed_Int</formula1>
    </dataValidation>
    <dataValidation type="textLength" allowBlank="1" showInputMessage="1" showErrorMessage="1" promptTitle="Hex Mode S Code" prompt="The entry must be 6 hexidecimal characters (0-9 or A-F)_x000a_ assigned from the FAA or other registering CAA." sqref="B7">
      <formula1>6</formula1>
      <formula2>6</formula2>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Dropdowns!$B$4:$B$22</xm:f>
          </x14:formula1>
          <xm:sqref>B11</xm:sqref>
        </x14:dataValidation>
        <x14:dataValidation type="list" allowBlank="1" showInputMessage="1" showErrorMessage="1">
          <x14:formula1>
            <xm:f>Dropdowns!$B$68:$B$76</xm:f>
          </x14:formula1>
          <xm:sqref>B8</xm:sqref>
        </x14:dataValidation>
        <x14:dataValidation type="list" allowBlank="1" showInputMessage="1" showErrorMessage="1">
          <x14:formula1>
            <xm:f>Dropdowns!$A$85:$A$87</xm:f>
          </x14:formula1>
          <xm:sqref>B15 B36 B13 B14</xm:sqref>
        </x14:dataValidation>
        <x14:dataValidation type="list" allowBlank="1" showInputMessage="1" showErrorMessage="1">
          <x14:formula1>
            <xm:f>Dropdowns!$A$116:$A$118</xm:f>
          </x14:formula1>
          <xm:sqref>B19</xm:sqref>
        </x14:dataValidation>
        <x14:dataValidation type="list" allowBlank="1" showErrorMessage="1">
          <x14:formula1>
            <xm:f>Dropdowns!$A$85:$A$87</xm:f>
          </x14:formula1>
          <xm:sqref>B33</xm:sqref>
        </x14:dataValidation>
        <x14:dataValidation type="list" allowBlank="1" showInputMessage="1" showErrorMessage="1">
          <x14:formula1>
            <xm:f>Dropdowns!$A$126:$A$129</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zoomScaleNormal="100" workbookViewId="0">
      <selection activeCell="L10" sqref="L10"/>
    </sheetView>
  </sheetViews>
  <sheetFormatPr defaultRowHeight="14.4" x14ac:dyDescent="0.3"/>
  <cols>
    <col min="1" max="1" width="5.77734375" style="2" customWidth="1"/>
    <col min="2" max="5" width="2.77734375" customWidth="1"/>
    <col min="7" max="10" width="2.77734375" customWidth="1"/>
    <col min="11" max="11" width="5.77734375" style="2" customWidth="1"/>
    <col min="12" max="12" width="11.77734375" customWidth="1"/>
  </cols>
  <sheetData>
    <row r="1" spans="1:12" ht="15" thickBot="1" x14ac:dyDescent="0.35">
      <c r="B1" s="123" t="s">
        <v>322</v>
      </c>
      <c r="C1" s="123"/>
      <c r="D1" s="123"/>
      <c r="E1" s="123"/>
      <c r="F1" s="123"/>
      <c r="G1" s="123"/>
      <c r="H1" s="123"/>
      <c r="I1" s="123"/>
      <c r="J1" s="123"/>
      <c r="K1" s="123"/>
      <c r="L1" s="123"/>
    </row>
    <row r="2" spans="1:12" ht="15" thickBot="1" x14ac:dyDescent="0.35">
      <c r="B2" s="37"/>
      <c r="C2" s="127" t="s">
        <v>615</v>
      </c>
      <c r="D2" s="127"/>
      <c r="E2" s="127"/>
      <c r="F2" s="127"/>
      <c r="G2" s="127"/>
      <c r="H2" s="127"/>
      <c r="I2" s="127"/>
      <c r="J2" s="127"/>
      <c r="K2" s="127"/>
      <c r="L2" s="127"/>
    </row>
    <row r="3" spans="1:12" ht="15.6" thickTop="1" thickBot="1" x14ac:dyDescent="0.35">
      <c r="B3" s="38"/>
      <c r="C3" s="127" t="s">
        <v>323</v>
      </c>
      <c r="D3" s="127"/>
      <c r="E3" s="127"/>
      <c r="F3" s="127"/>
      <c r="G3" s="127"/>
      <c r="H3" s="127"/>
      <c r="I3" s="127"/>
      <c r="J3" s="127"/>
      <c r="K3" s="127"/>
      <c r="L3" s="127"/>
    </row>
    <row r="4" spans="1:12" ht="15" thickBot="1" x14ac:dyDescent="0.35">
      <c r="B4" s="39"/>
      <c r="C4" s="127" t="s">
        <v>332</v>
      </c>
      <c r="D4" s="127"/>
      <c r="E4" s="127"/>
      <c r="F4" s="127"/>
      <c r="G4" s="127"/>
      <c r="H4" s="127"/>
      <c r="I4" s="127"/>
      <c r="J4" s="127"/>
      <c r="K4" s="127"/>
      <c r="L4" s="127"/>
    </row>
    <row r="5" spans="1:12" ht="15" thickBot="1" x14ac:dyDescent="0.35">
      <c r="B5" s="40"/>
      <c r="C5" s="45" t="s">
        <v>333</v>
      </c>
      <c r="D5" s="36"/>
      <c r="E5" s="36"/>
      <c r="F5" s="36"/>
      <c r="G5" s="36"/>
      <c r="H5" s="36"/>
      <c r="I5" s="36"/>
      <c r="J5" s="36"/>
      <c r="K5" s="46"/>
      <c r="L5" s="36"/>
    </row>
    <row r="6" spans="1:12" ht="15" thickBot="1" x14ac:dyDescent="0.35">
      <c r="B6" s="41"/>
      <c r="C6" s="128" t="s">
        <v>336</v>
      </c>
      <c r="D6" s="128"/>
      <c r="E6" s="128"/>
      <c r="F6" s="128"/>
      <c r="G6" s="128"/>
      <c r="H6" s="128"/>
      <c r="I6" s="128"/>
      <c r="J6" s="128"/>
      <c r="K6" s="128"/>
      <c r="L6" s="128"/>
    </row>
    <row r="7" spans="1:12" ht="15" thickBot="1" x14ac:dyDescent="0.35">
      <c r="B7" s="42"/>
      <c r="C7" s="128" t="s">
        <v>337</v>
      </c>
      <c r="D7" s="128"/>
      <c r="E7" s="128"/>
      <c r="F7" s="128"/>
      <c r="G7" s="128"/>
      <c r="H7" s="128"/>
      <c r="I7" s="128"/>
      <c r="J7" s="128"/>
      <c r="K7" s="128"/>
      <c r="L7" s="128"/>
    </row>
    <row r="8" spans="1:12" ht="15" thickBot="1" x14ac:dyDescent="0.35">
      <c r="B8" s="43"/>
      <c r="C8" s="128" t="s">
        <v>335</v>
      </c>
      <c r="D8" s="128"/>
      <c r="E8" s="128"/>
      <c r="F8" s="128"/>
      <c r="G8" s="128"/>
      <c r="H8" s="128"/>
      <c r="I8" s="128"/>
      <c r="J8" s="128"/>
      <c r="K8" s="128"/>
      <c r="L8" s="128"/>
    </row>
    <row r="9" spans="1:12" ht="15" thickBot="1" x14ac:dyDescent="0.35">
      <c r="B9" s="44"/>
      <c r="C9" s="128" t="s">
        <v>334</v>
      </c>
      <c r="D9" s="128"/>
      <c r="E9" s="128"/>
      <c r="F9" s="128"/>
      <c r="G9" s="128"/>
      <c r="H9" s="128"/>
      <c r="I9" s="128"/>
      <c r="J9" s="128"/>
      <c r="K9" s="128"/>
      <c r="L9" s="128"/>
    </row>
    <row r="12" spans="1:12" x14ac:dyDescent="0.3">
      <c r="B12" s="124" t="s">
        <v>1</v>
      </c>
      <c r="C12" s="124"/>
      <c r="D12" s="124"/>
      <c r="E12" s="124"/>
      <c r="G12" s="124" t="s">
        <v>69</v>
      </c>
      <c r="H12" s="124"/>
      <c r="I12" s="124"/>
      <c r="J12" s="124"/>
    </row>
    <row r="13" spans="1:12" ht="15" thickBot="1" x14ac:dyDescent="0.35">
      <c r="B13" s="125"/>
      <c r="C13" s="125"/>
      <c r="D13" s="125"/>
      <c r="E13" s="125"/>
      <c r="G13" s="126"/>
      <c r="H13" s="126"/>
      <c r="I13" s="126"/>
      <c r="J13" s="126"/>
    </row>
    <row r="14" spans="1:12" ht="16.05" customHeight="1" thickTop="1" thickBot="1" x14ac:dyDescent="0.35">
      <c r="A14" s="3" t="s">
        <v>168</v>
      </c>
      <c r="B14" s="96" t="str">
        <f>'TDR-94 94D Pinout'!$D68</f>
        <v>&lt;Make Selection&gt; No change required for ADS-B Out.  Reference existing drawings.</v>
      </c>
      <c r="C14" s="96" t="str">
        <f>'TDR-94 94D Pinout'!$D67</f>
        <v>&lt;Make Selection&gt; No change required for ADS-B Out.  Reference existing drawings.</v>
      </c>
      <c r="D14" s="96" t="str">
        <f>'TDR-94 94D Pinout'!$D66</f>
        <v>&lt;Make Selection&gt; No change required for ADS-B Out.  Reference existing drawings.</v>
      </c>
      <c r="E14" s="96" t="str">
        <f>'TDR-94 94D Pinout'!$D65</f>
        <v>&lt;Make Selection&gt; No change required for ADS-B Out.  Reference existing drawings.</v>
      </c>
      <c r="F14" s="97" t="s">
        <v>198</v>
      </c>
      <c r="G14" s="98">
        <f>'TDR-94 94D Pinout'!$D8</f>
        <v>0</v>
      </c>
      <c r="H14" s="98" t="e">
        <f>'TDR-94 94D Pinout'!$D7</f>
        <v>#N/A</v>
      </c>
      <c r="I14" s="98" t="e">
        <f>'TDR-94 94D Pinout'!$D6</f>
        <v>#N/A</v>
      </c>
      <c r="J14" s="98" t="e">
        <f>'TDR-94 94D Pinout'!$D5</f>
        <v>#N/A</v>
      </c>
      <c r="K14" s="3" t="s">
        <v>170</v>
      </c>
    </row>
    <row r="15" spans="1:12" ht="16.05" customHeight="1" thickTop="1" thickBot="1" x14ac:dyDescent="0.35">
      <c r="A15" s="3" t="s">
        <v>185</v>
      </c>
      <c r="B15" s="96" t="str">
        <f>'TDR-94 94D Pinout'!$D72</f>
        <v>Open</v>
      </c>
      <c r="C15" s="96" t="str">
        <f>'TDR-94 94D Pinout'!$D71</f>
        <v>Open</v>
      </c>
      <c r="D15" s="96" t="str">
        <f>'TDR-94 94D Pinout'!$D70</f>
        <v>Open</v>
      </c>
      <c r="E15" s="96" t="str">
        <f>'TDR-94 94D Pinout'!$D69</f>
        <v>Open</v>
      </c>
      <c r="F15" s="97" t="s">
        <v>198</v>
      </c>
      <c r="G15" s="98" t="str">
        <f>'TDR-94 94D Pinout'!$D12</f>
        <v>ADS-B Common (P1-12)</v>
      </c>
      <c r="H15" s="98" t="str">
        <f>'TDR-94 94D Pinout'!$D11</f>
        <v>ADS-B Common (P1-12)</v>
      </c>
      <c r="I15" s="98">
        <f>'TDR-94 94D Pinout'!$D10</f>
        <v>0</v>
      </c>
      <c r="J15" s="98">
        <f>'TDR-94 94D Pinout'!$D9</f>
        <v>0</v>
      </c>
      <c r="K15" s="3" t="s">
        <v>171</v>
      </c>
    </row>
    <row r="16" spans="1:12" ht="16.05" customHeight="1" thickTop="1" thickBot="1" x14ac:dyDescent="0.35">
      <c r="A16" s="3" t="s">
        <v>186</v>
      </c>
      <c r="B16" s="96" t="str">
        <f>'TDR-94 94D Pinout'!$D76</f>
        <v>Open</v>
      </c>
      <c r="C16" s="96" t="str">
        <f>'TDR-94 94D Pinout'!$D75</f>
        <v>Open</v>
      </c>
      <c r="D16" s="96" t="str">
        <f>'TDR-94 94D Pinout'!$D74</f>
        <v>Open</v>
      </c>
      <c r="E16" s="96" t="str">
        <f>'TDR-94 94D Pinout'!$D73</f>
        <v>Open</v>
      </c>
      <c r="F16" s="97" t="s">
        <v>198</v>
      </c>
      <c r="G16" s="99" t="str">
        <f>'TDR-94 94D Pinout'!$D16</f>
        <v>As Appropriate</v>
      </c>
      <c r="H16" s="98" t="str">
        <f>'TDR-94 94D Pinout'!$D15</f>
        <v>Open</v>
      </c>
      <c r="I16" s="98" t="str">
        <f>'TDR-94 94D Pinout'!$D14</f>
        <v>ADS-B Common (P1-12)</v>
      </c>
      <c r="J16" s="98" t="str">
        <f>'TDR-94 94D Pinout'!$D13</f>
        <v>ADS-B Common (P1-12)</v>
      </c>
      <c r="K16" s="3" t="s">
        <v>172</v>
      </c>
    </row>
    <row r="17" spans="1:11" ht="16.05" customHeight="1" thickTop="1" thickBot="1" x14ac:dyDescent="0.35">
      <c r="A17" s="3" t="s">
        <v>187</v>
      </c>
      <c r="B17" s="96" t="str">
        <f>'TDR-94 94D Pinout'!$D80</f>
        <v>Open</v>
      </c>
      <c r="C17" s="96" t="str">
        <f>'TDR-94 94D Pinout'!$D79</f>
        <v>Open</v>
      </c>
      <c r="D17" s="96" t="str">
        <f>'TDR-94 94D Pinout'!$D78</f>
        <v>Open</v>
      </c>
      <c r="E17" s="96" t="str">
        <f>'TDR-94 94D Pinout'!$D77</f>
        <v>Open</v>
      </c>
      <c r="F17" s="97" t="s">
        <v>198</v>
      </c>
      <c r="G17" s="98" t="str">
        <f>'TDR-94 94D Pinout'!$D20</f>
        <v>&lt;Make Selection&gt; No change required for ADS-B Out.  Reference existing drawings.</v>
      </c>
      <c r="H17" s="98" t="str">
        <f>'TDR-94 94D Pinout'!$D19</f>
        <v>&lt;Make Selection&gt; No change required for ADS-B Out.  Reference existing drawings.</v>
      </c>
      <c r="I17" s="98" t="str">
        <f>'TDR-94 94D Pinout'!$D18</f>
        <v>Open</v>
      </c>
      <c r="J17" s="98" t="str">
        <f>'TDR-94 94D Pinout'!$D17</f>
        <v>Open</v>
      </c>
      <c r="K17" s="3" t="s">
        <v>173</v>
      </c>
    </row>
    <row r="18" spans="1:11" ht="16.05" customHeight="1" thickTop="1" thickBot="1" x14ac:dyDescent="0.35">
      <c r="A18" s="3" t="s">
        <v>188</v>
      </c>
      <c r="B18" s="96" t="str">
        <f>'TDR-94 94D Pinout'!$D84</f>
        <v>Interface to DDA or AFID</v>
      </c>
      <c r="C18" s="96" t="str">
        <f>'TDR-94 94D Pinout'!$D83</f>
        <v>Interface to DDA or AFID</v>
      </c>
      <c r="D18" s="96" t="str">
        <f>'TDR-94 94D Pinout'!$D82</f>
        <v>Open</v>
      </c>
      <c r="E18" s="96" t="str">
        <f>'TDR-94 94D Pinout'!$D81</f>
        <v>Open</v>
      </c>
      <c r="F18" s="97" t="s">
        <v>198</v>
      </c>
      <c r="G18" s="98">
        <f>'TDR-94 94D Pinout'!$D24</f>
        <v>0</v>
      </c>
      <c r="H18" s="98" t="str">
        <f>'TDR-94 94D Pinout'!$D23</f>
        <v>&lt;Make Selection&gt; No change required for ADS-B Out.  Reference existing drawings.</v>
      </c>
      <c r="I18" s="98" t="str">
        <f>'TDR-94 94D Pinout'!$D22</f>
        <v>Open</v>
      </c>
      <c r="J18" s="98" t="str">
        <f>'TDR-94 94D Pinout'!$D21</f>
        <v>Open</v>
      </c>
      <c r="K18" s="3" t="s">
        <v>174</v>
      </c>
    </row>
    <row r="19" spans="1:11" ht="16.05" customHeight="1" thickTop="1" thickBot="1" x14ac:dyDescent="0.35">
      <c r="A19" s="3" t="s">
        <v>189</v>
      </c>
      <c r="B19" s="96" t="str">
        <f>'TDR-94 94D Pinout'!$D88</f>
        <v>Open</v>
      </c>
      <c r="C19" s="96" t="str">
        <f>'TDR-94 94D Pinout'!$D87</f>
        <v>Open</v>
      </c>
      <c r="D19" s="96" t="str">
        <f>'TDR-94 94D Pinout'!$D86</f>
        <v>&lt;Make Selection&gt; No change required for ADS-B Out.  Reference existing drawings.</v>
      </c>
      <c r="E19" s="96" t="str">
        <f>'TDR-94 94D Pinout'!$D85</f>
        <v>&lt;Make Selection&gt; No change required for ADS-B Out.  Reference existing drawings.</v>
      </c>
      <c r="F19" s="97" t="s">
        <v>198</v>
      </c>
      <c r="G19" s="98" t="str">
        <f>'TDR-94 94D Pinout'!$D28</f>
        <v>Open</v>
      </c>
      <c r="H19" s="98" t="str">
        <f>'TDR-94 94D Pinout'!$D27</f>
        <v>Open</v>
      </c>
      <c r="I19" s="98">
        <f>'TDR-94 94D Pinout'!$D26</f>
        <v>0</v>
      </c>
      <c r="J19" s="98">
        <f>'TDR-94 94D Pinout'!$D25</f>
        <v>0</v>
      </c>
      <c r="K19" s="3" t="s">
        <v>175</v>
      </c>
    </row>
    <row r="20" spans="1:11" ht="16.05" customHeight="1" thickTop="1" thickBot="1" x14ac:dyDescent="0.35">
      <c r="A20" s="3" t="s">
        <v>190</v>
      </c>
      <c r="B20" s="96" t="str">
        <f>'TDR-94 94D Pinout'!$D92</f>
        <v>From FMS or IRS</v>
      </c>
      <c r="C20" s="96" t="str">
        <f>'TDR-94 94D Pinout'!$D91</f>
        <v>From FMS or IRS</v>
      </c>
      <c r="D20" s="96" t="str">
        <f>'TDR-94 94D Pinout'!$D90</f>
        <v>&lt;Make Selection&gt; No change required for ADS-B Out.  Reference existing drawings.</v>
      </c>
      <c r="E20" s="96" t="str">
        <f>'TDR-94 94D Pinout'!$D89</f>
        <v>&lt;Make Selection&gt; No change required for ADS-B Out.  Reference existing drawings.</v>
      </c>
      <c r="F20" s="97" t="s">
        <v>198</v>
      </c>
      <c r="G20" s="98" t="str">
        <f>'TDR-94 94D Pinout'!$D32</f>
        <v>Open</v>
      </c>
      <c r="H20" s="98" t="str">
        <f>'TDR-94 94D Pinout'!$D31</f>
        <v>WOW</v>
      </c>
      <c r="I20" s="98" t="str">
        <f>'TDR-94 94D Pinout'!$D30</f>
        <v>Open</v>
      </c>
      <c r="J20" s="98" t="str">
        <f>'TDR-94 94D Pinout'!$D29</f>
        <v>&lt;Make Selection&gt; No change required for ADS-B Out.  Reference existing drawings.</v>
      </c>
      <c r="K20" s="3" t="s">
        <v>176</v>
      </c>
    </row>
    <row r="21" spans="1:11" ht="16.05" customHeight="1" thickTop="1" thickBot="1" x14ac:dyDescent="0.35">
      <c r="A21" s="3" t="s">
        <v>191</v>
      </c>
      <c r="B21" s="96" t="str">
        <f>'TDR-94 94D Pinout'!$D96</f>
        <v>Open</v>
      </c>
      <c r="C21" s="96" t="str">
        <f>'TDR-94 94D Pinout'!$D95</f>
        <v>Open</v>
      </c>
      <c r="D21" s="96" t="str">
        <f>'TDR-94 94D Pinout'!$D94</f>
        <v>From Altitude Source B</v>
      </c>
      <c r="E21" s="96" t="str">
        <f>'TDR-94 94D Pinout'!$D93</f>
        <v>From Altitude Sourrce B</v>
      </c>
      <c r="F21" s="97" t="s">
        <v>198</v>
      </c>
      <c r="G21" s="100" t="str">
        <f>'TDR-94 94D Pinout'!$D36</f>
        <v>See Below</v>
      </c>
      <c r="H21" s="98" t="str">
        <f>'TDR-94 94D Pinout'!$D35</f>
        <v>&lt;Make Selection&gt; No change required for ADS-B Out.  Reference existing drawings.</v>
      </c>
      <c r="I21" s="101" t="str">
        <f>'TDR-94 94D Pinout'!$D34</f>
        <v>As Appropriate</v>
      </c>
      <c r="J21" s="98" t="str">
        <f>'TDR-94 94D Pinout'!$D33</f>
        <v>&lt;Make Selection&gt; No change required for ADS-B Out.  Reference existing drawings.</v>
      </c>
      <c r="K21" s="3" t="s">
        <v>177</v>
      </c>
    </row>
    <row r="22" spans="1:11" ht="16.05" customHeight="1" thickTop="1" thickBot="1" x14ac:dyDescent="0.35">
      <c r="A22" s="3" t="s">
        <v>192</v>
      </c>
      <c r="B22" s="96" t="str">
        <f>'TDR-94 94D Pinout'!$D100</f>
        <v>Open</v>
      </c>
      <c r="C22" s="96" t="str">
        <f>'TDR-94 94D Pinout'!$D99</f>
        <v>Open</v>
      </c>
      <c r="D22" s="96" t="str">
        <f>'TDR-94 94D Pinout'!$D98</f>
        <v>Open</v>
      </c>
      <c r="E22" s="96" t="str">
        <f>'TDR-94 94D Pinout'!$D97</f>
        <v>Open</v>
      </c>
      <c r="F22" s="97" t="s">
        <v>198</v>
      </c>
      <c r="G22" s="98" t="str">
        <f>'TDR-94 94D Pinout'!$D40</f>
        <v>Open</v>
      </c>
      <c r="H22" s="98" t="str">
        <f>'TDR-94 94D Pinout'!$D39</f>
        <v>Open</v>
      </c>
      <c r="I22" s="98" t="str">
        <f>'TDR-94 94D Pinout'!$D38</f>
        <v>Open</v>
      </c>
      <c r="J22" s="98" t="str">
        <f>'TDR-94 94D Pinout'!$D37</f>
        <v>Open</v>
      </c>
      <c r="K22" s="3" t="s">
        <v>178</v>
      </c>
    </row>
    <row r="23" spans="1:11" ht="16.05" customHeight="1" thickTop="1" thickBot="1" x14ac:dyDescent="0.35">
      <c r="A23" s="3" t="s">
        <v>193</v>
      </c>
      <c r="B23" s="96" t="str">
        <f>'TDR-94 94D Pinout'!$D104</f>
        <v>From AIS/ADS Source or AFID</v>
      </c>
      <c r="C23" s="96" t="str">
        <f>'TDR-94 94D Pinout'!$D103</f>
        <v>From AIS/ADS Source or AFID</v>
      </c>
      <c r="D23" s="96" t="str">
        <f>'TDR-94 94D Pinout'!$D102</f>
        <v>&lt;Make Selection&gt; No change required for ADS-B Out.  Reference existing drawings.</v>
      </c>
      <c r="E23" s="96" t="str">
        <f>'TDR-94 94D Pinout'!$D101</f>
        <v>&lt;Make Selection&gt; No change required for ADS-B Out.  Reference existing drawings.</v>
      </c>
      <c r="F23" s="97" t="s">
        <v>198</v>
      </c>
      <c r="G23" s="98" t="str">
        <f>'TDR-94 94D Pinout'!$D44</f>
        <v>Open</v>
      </c>
      <c r="H23" s="98" t="str">
        <f>'TDR-94 94D Pinout'!$D43</f>
        <v>Open</v>
      </c>
      <c r="I23" s="98" t="str">
        <f>'TDR-94 94D Pinout'!$D42</f>
        <v>Open</v>
      </c>
      <c r="J23" s="98" t="str">
        <f>'TDR-94 94D Pinout'!$D41</f>
        <v>Open</v>
      </c>
      <c r="K23" s="3" t="s">
        <v>179</v>
      </c>
    </row>
    <row r="24" spans="1:11" ht="16.05" customHeight="1" thickTop="1" thickBot="1" x14ac:dyDescent="0.35">
      <c r="A24" s="3" t="s">
        <v>194</v>
      </c>
      <c r="B24" s="98">
        <f>'TDR-94 94D Pinout'!$D108</f>
        <v>0</v>
      </c>
      <c r="C24" s="98">
        <f>'TDR-94 94D Pinout'!$D107</f>
        <v>0</v>
      </c>
      <c r="D24" s="98" t="str">
        <f>'TDR-94 94D Pinout'!$D106</f>
        <v>Open</v>
      </c>
      <c r="E24" s="98" t="str">
        <f>'TDR-94 94D Pinout'!$D105</f>
        <v>Common Ground (P2-52)</v>
      </c>
      <c r="F24" s="97" t="s">
        <v>198</v>
      </c>
      <c r="G24" s="98" t="str">
        <f>'TDR-94 94D Pinout'!$D48</f>
        <v>Open</v>
      </c>
      <c r="H24" s="98" t="str">
        <f>'TDR-94 94D Pinout'!$D47</f>
        <v>Open</v>
      </c>
      <c r="I24" s="98" t="str">
        <f>'TDR-94 94D Pinout'!$D46</f>
        <v>Open</v>
      </c>
      <c r="J24" s="98" t="str">
        <f>'TDR-94 94D Pinout'!$D45</f>
        <v>Open</v>
      </c>
      <c r="K24" s="3" t="s">
        <v>180</v>
      </c>
    </row>
    <row r="25" spans="1:11" ht="16.05" customHeight="1" thickBot="1" x14ac:dyDescent="0.35">
      <c r="A25" s="3" t="s">
        <v>195</v>
      </c>
      <c r="B25" s="98" t="str">
        <f>'TDR-94 94D Pinout'!$D112</f>
        <v>&lt;Make Selection&gt; No change required for ADS-B Out.  Reference existing drawings.</v>
      </c>
      <c r="C25" s="98" t="str">
        <f>'TDR-94 94D Pinout'!$D111</f>
        <v>Open</v>
      </c>
      <c r="D25" s="98" t="str">
        <f>'TDR-94 94D Pinout'!$D110</f>
        <v>Open</v>
      </c>
      <c r="E25" s="98">
        <f>'TDR-94 94D Pinout'!$D109</f>
        <v>0</v>
      </c>
      <c r="F25" s="97" t="s">
        <v>198</v>
      </c>
      <c r="G25" s="98" t="str">
        <f>'TDR-94 94D Pinout'!$D52</f>
        <v>Open</v>
      </c>
      <c r="H25" s="98" t="str">
        <f>'TDR-94 94D Pinout'!$D51</f>
        <v>Open</v>
      </c>
      <c r="I25" s="98" t="str">
        <f>'TDR-94 94D Pinout'!$D50</f>
        <v>Open</v>
      </c>
      <c r="J25" s="98" t="str">
        <f>'TDR-94 94D Pinout'!$D49</f>
        <v>Open</v>
      </c>
      <c r="K25" s="3" t="s">
        <v>181</v>
      </c>
    </row>
    <row r="26" spans="1:11" ht="16.05" customHeight="1" thickTop="1" thickBot="1" x14ac:dyDescent="0.35">
      <c r="A26" s="3" t="s">
        <v>196</v>
      </c>
      <c r="B26" s="102" t="str">
        <f>'TDR-94 94D Pinout'!$D116</f>
        <v>As Appropriate</v>
      </c>
      <c r="C26" s="98" t="str">
        <f>'TDR-94 94D Pinout'!$D115</f>
        <v>Open</v>
      </c>
      <c r="D26" s="96" t="str">
        <f>'TDR-94 94D Pinout'!$D114</f>
        <v>From WAAS GPS Source</v>
      </c>
      <c r="E26" s="96" t="str">
        <f>'TDR-94 94D Pinout'!$D113</f>
        <v>From WAAS GPS Source</v>
      </c>
      <c r="F26" s="97" t="s">
        <v>198</v>
      </c>
      <c r="G26" s="98" t="str">
        <f>'TDR-94 94D Pinout'!$D56</f>
        <v>Open</v>
      </c>
      <c r="H26" s="98" t="str">
        <f>'TDR-94 94D Pinout'!$D55</f>
        <v>Open</v>
      </c>
      <c r="I26" s="98" t="str">
        <f>'TDR-94 94D Pinout'!$D54</f>
        <v>Open</v>
      </c>
      <c r="J26" s="98" t="str">
        <f>'TDR-94 94D Pinout'!$D53</f>
        <v>Open</v>
      </c>
      <c r="K26" s="3" t="s">
        <v>182</v>
      </c>
    </row>
    <row r="27" spans="1:11" ht="16.05" customHeight="1" thickTop="1" thickBot="1" x14ac:dyDescent="0.35">
      <c r="A27" s="3" t="s">
        <v>197</v>
      </c>
      <c r="B27" s="98" t="str">
        <f>'TDR-94 94D Pinout'!$D120</f>
        <v>Open</v>
      </c>
      <c r="C27" s="96" t="str">
        <f>'TDR-94 94D Pinout'!$D119</f>
        <v>&lt;Make Selection&gt; No change required for ADS-B Out.  Reference existing drawings.</v>
      </c>
      <c r="D27" s="96" t="str">
        <f>'TDR-94 94D Pinout'!$D118</f>
        <v>Open</v>
      </c>
      <c r="E27" s="98" t="str">
        <f>'TDR-94 94D Pinout'!$D117</f>
        <v>Open</v>
      </c>
      <c r="F27" s="97" t="s">
        <v>198</v>
      </c>
      <c r="G27" s="98" t="str">
        <f>'TDR-94 94D Pinout'!$D60</f>
        <v>Open</v>
      </c>
      <c r="H27" s="98" t="str">
        <f>'TDR-94 94D Pinout'!$D59</f>
        <v>Open</v>
      </c>
      <c r="I27" s="98" t="str">
        <f>'TDR-94 94D Pinout'!$D58</f>
        <v>Open</v>
      </c>
      <c r="J27" s="98" t="str">
        <f>'TDR-94 94D Pinout'!$D57</f>
        <v>Open</v>
      </c>
      <c r="K27" s="3" t="s">
        <v>183</v>
      </c>
    </row>
    <row r="28" spans="1:11" ht="16.05" customHeight="1" thickBot="1" x14ac:dyDescent="0.35">
      <c r="A28" s="3" t="s">
        <v>169</v>
      </c>
      <c r="B28" s="98" t="str">
        <f>'TDR-94 94D Pinout'!$D124</f>
        <v>Open</v>
      </c>
      <c r="C28" s="98" t="str">
        <f>'TDR-94 94D Pinout'!$D123</f>
        <v>Open</v>
      </c>
      <c r="D28" s="98" t="str">
        <f>'TDR-94 94D Pinout'!$D122</f>
        <v>&lt;Make Selection&gt; No change required for ADS-B Out.  Reference existing drawings.</v>
      </c>
      <c r="E28" s="98" t="str">
        <f>'TDR-94 94D Pinout'!$D121</f>
        <v>&lt;Make Selection&gt; No change required for ADS-B Out.  Reference existing drawings.</v>
      </c>
      <c r="F28" s="97" t="s">
        <v>198</v>
      </c>
      <c r="G28" s="98" t="str">
        <f>'TDR-94 94D Pinout'!$D64</f>
        <v>Power Ground</v>
      </c>
      <c r="H28" s="98" t="str">
        <f>'TDR-94 94D Pinout'!$D63</f>
        <v>Open</v>
      </c>
      <c r="I28" s="98" t="str">
        <f>'TDR-94 94D Pinout'!$D62</f>
        <v>+28 Vdc Power Input</v>
      </c>
      <c r="J28" s="98" t="str">
        <f>'TDR-94 94D Pinout'!$D61</f>
        <v>Open</v>
      </c>
      <c r="K28" s="3" t="s">
        <v>184</v>
      </c>
    </row>
  </sheetData>
  <sheetProtection algorithmName="SHA-512" hashValue="7gKILMxAZI9tJJptYOp3ACTGsCTiiIQVKRUQ7RiyrBvnFq5iMUp5ScYJlA50PyalBddwsLt432WWSAHIDR+Yzw==" saltValue="Kgovn+jct4nmnKf/7Ugclg==" spinCount="100000" sheet="1" objects="1" scenarios="1"/>
  <mergeCells count="10">
    <mergeCell ref="B1:L1"/>
    <mergeCell ref="B12:E13"/>
    <mergeCell ref="G12:J13"/>
    <mergeCell ref="C2:L2"/>
    <mergeCell ref="C3:L3"/>
    <mergeCell ref="C4:L4"/>
    <mergeCell ref="C6:L6"/>
    <mergeCell ref="C7:L7"/>
    <mergeCell ref="C8:L8"/>
    <mergeCell ref="C9:L9"/>
  </mergeCells>
  <conditionalFormatting sqref="H16 H21 G17:J17 H18:J18 G19 G20:J20 G28:J28 J21">
    <cfRule type="cellIs" dxfId="331" priority="388" operator="notEqual">
      <formula>"Open"</formula>
    </cfRule>
  </conditionalFormatting>
  <conditionalFormatting sqref="H16">
    <cfRule type="cellIs" dxfId="330" priority="381" operator="equal">
      <formula>"""Open"""</formula>
    </cfRule>
  </conditionalFormatting>
  <conditionalFormatting sqref="J17">
    <cfRule type="cellIs" dxfId="329" priority="221" operator="equal">
      <formula>"Common Ground (P2-52)"</formula>
    </cfRule>
    <cfRule type="cellIs" dxfId="328" priority="379" operator="equal">
      <formula>"""Open"""</formula>
    </cfRule>
  </conditionalFormatting>
  <conditionalFormatting sqref="G17:H17">
    <cfRule type="cellIs" dxfId="327" priority="378" operator="equal">
      <formula>"""Open"""</formula>
    </cfRule>
  </conditionalFormatting>
  <conditionalFormatting sqref="I17">
    <cfRule type="cellIs" dxfId="326" priority="377" operator="equal">
      <formula>"""Open"""</formula>
    </cfRule>
  </conditionalFormatting>
  <conditionalFormatting sqref="J18">
    <cfRule type="cellIs" dxfId="325" priority="376" operator="equal">
      <formula>"""Open"""</formula>
    </cfRule>
  </conditionalFormatting>
  <conditionalFormatting sqref="H18">
    <cfRule type="cellIs" dxfId="324" priority="375" operator="equal">
      <formula>"""Open"""</formula>
    </cfRule>
  </conditionalFormatting>
  <conditionalFormatting sqref="I18">
    <cfRule type="cellIs" dxfId="323" priority="374" operator="equal">
      <formula>"""Open"""</formula>
    </cfRule>
  </conditionalFormatting>
  <conditionalFormatting sqref="G19">
    <cfRule type="cellIs" dxfId="322" priority="372" operator="equal">
      <formula>"""Open"""</formula>
    </cfRule>
  </conditionalFormatting>
  <conditionalFormatting sqref="J20">
    <cfRule type="cellIs" dxfId="321" priority="370" operator="equal">
      <formula>"""Open"""</formula>
    </cfRule>
  </conditionalFormatting>
  <conditionalFormatting sqref="G20:H20">
    <cfRule type="cellIs" dxfId="320" priority="369" operator="equal">
      <formula>"""Open"""</formula>
    </cfRule>
  </conditionalFormatting>
  <conditionalFormatting sqref="I20">
    <cfRule type="cellIs" dxfId="319" priority="368" operator="equal">
      <formula>"""Open"""</formula>
    </cfRule>
  </conditionalFormatting>
  <conditionalFormatting sqref="J21">
    <cfRule type="cellIs" dxfId="318" priority="367" operator="equal">
      <formula>"""Open"""</formula>
    </cfRule>
  </conditionalFormatting>
  <conditionalFormatting sqref="H21">
    <cfRule type="cellIs" dxfId="317" priority="366" operator="equal">
      <formula>"""Open"""</formula>
    </cfRule>
  </conditionalFormatting>
  <conditionalFormatting sqref="J28">
    <cfRule type="cellIs" dxfId="316" priority="346" operator="equal">
      <formula>"""Open"""</formula>
    </cfRule>
  </conditionalFormatting>
  <conditionalFormatting sqref="G28:H28">
    <cfRule type="cellIs" dxfId="315" priority="345" operator="equal">
      <formula>"""Open"""</formula>
    </cfRule>
  </conditionalFormatting>
  <conditionalFormatting sqref="I28">
    <cfRule type="cellIs" dxfId="314" priority="344" operator="equal">
      <formula>"""Open"""</formula>
    </cfRule>
  </conditionalFormatting>
  <conditionalFormatting sqref="B14:E23 D26:E26 C27:D27">
    <cfRule type="cellIs" dxfId="313" priority="338" operator="notEqual">
      <formula>"Open"</formula>
    </cfRule>
  </conditionalFormatting>
  <conditionalFormatting sqref="E15">
    <cfRule type="cellIs" dxfId="312" priority="337" operator="equal">
      <formula>"""Open"""</formula>
    </cfRule>
  </conditionalFormatting>
  <conditionalFormatting sqref="B15:C15">
    <cfRule type="cellIs" dxfId="311" priority="336" operator="equal">
      <formula>"""Open"""</formula>
    </cfRule>
  </conditionalFormatting>
  <conditionalFormatting sqref="D15">
    <cfRule type="cellIs" dxfId="310" priority="335" operator="equal">
      <formula>"""Open"""</formula>
    </cfRule>
  </conditionalFormatting>
  <conditionalFormatting sqref="E16">
    <cfRule type="cellIs" dxfId="309" priority="334" operator="equal">
      <formula>"""Open"""</formula>
    </cfRule>
  </conditionalFormatting>
  <conditionalFormatting sqref="B16:C16">
    <cfRule type="cellIs" dxfId="308" priority="333" operator="equal">
      <formula>"""Open"""</formula>
    </cfRule>
  </conditionalFormatting>
  <conditionalFormatting sqref="D16">
    <cfRule type="cellIs" dxfId="307" priority="332" operator="equal">
      <formula>"""Open"""</formula>
    </cfRule>
  </conditionalFormatting>
  <conditionalFormatting sqref="E17">
    <cfRule type="cellIs" dxfId="306" priority="331" operator="equal">
      <formula>"""Open"""</formula>
    </cfRule>
  </conditionalFormatting>
  <conditionalFormatting sqref="B17:C17">
    <cfRule type="cellIs" dxfId="305" priority="330" operator="equal">
      <formula>"""Open"""</formula>
    </cfRule>
  </conditionalFormatting>
  <conditionalFormatting sqref="D17">
    <cfRule type="cellIs" dxfId="304" priority="329" operator="equal">
      <formula>"""Open"""</formula>
    </cfRule>
  </conditionalFormatting>
  <conditionalFormatting sqref="E18">
    <cfRule type="cellIs" dxfId="303" priority="328" operator="equal">
      <formula>"""Open"""</formula>
    </cfRule>
  </conditionalFormatting>
  <conditionalFormatting sqref="B18:C18">
    <cfRule type="cellIs" dxfId="302" priority="327" operator="equal">
      <formula>"""Open"""</formula>
    </cfRule>
  </conditionalFormatting>
  <conditionalFormatting sqref="D18">
    <cfRule type="cellIs" dxfId="301" priority="326" operator="equal">
      <formula>"""Open"""</formula>
    </cfRule>
  </conditionalFormatting>
  <conditionalFormatting sqref="E19">
    <cfRule type="cellIs" dxfId="300" priority="325" operator="equal">
      <formula>"""Open"""</formula>
    </cfRule>
  </conditionalFormatting>
  <conditionalFormatting sqref="B19:C19">
    <cfRule type="cellIs" dxfId="299" priority="324" operator="equal">
      <formula>"""Open"""</formula>
    </cfRule>
  </conditionalFormatting>
  <conditionalFormatting sqref="D19">
    <cfRule type="cellIs" dxfId="298" priority="323" operator="equal">
      <formula>"""Open"""</formula>
    </cfRule>
  </conditionalFormatting>
  <conditionalFormatting sqref="E20">
    <cfRule type="cellIs" dxfId="297" priority="322" operator="equal">
      <formula>"""Open"""</formula>
    </cfRule>
  </conditionalFormatting>
  <conditionalFormatting sqref="B20:C20">
    <cfRule type="cellIs" dxfId="296" priority="321" operator="equal">
      <formula>"""Open"""</formula>
    </cfRule>
  </conditionalFormatting>
  <conditionalFormatting sqref="D20">
    <cfRule type="cellIs" dxfId="295" priority="320" operator="equal">
      <formula>"""Open"""</formula>
    </cfRule>
  </conditionalFormatting>
  <conditionalFormatting sqref="E21">
    <cfRule type="cellIs" dxfId="294" priority="319" operator="equal">
      <formula>"""Open"""</formula>
    </cfRule>
  </conditionalFormatting>
  <conditionalFormatting sqref="B21:C21">
    <cfRule type="cellIs" dxfId="293" priority="318" operator="equal">
      <formula>"""Open"""</formula>
    </cfRule>
  </conditionalFormatting>
  <conditionalFormatting sqref="D21">
    <cfRule type="cellIs" dxfId="292" priority="317" operator="equal">
      <formula>"""Open"""</formula>
    </cfRule>
  </conditionalFormatting>
  <conditionalFormatting sqref="E22">
    <cfRule type="cellIs" dxfId="291" priority="316" operator="equal">
      <formula>"""Open"""</formula>
    </cfRule>
  </conditionalFormatting>
  <conditionalFormatting sqref="B22:C22">
    <cfRule type="cellIs" dxfId="290" priority="315" operator="equal">
      <formula>"""Open"""</formula>
    </cfRule>
  </conditionalFormatting>
  <conditionalFormatting sqref="D22">
    <cfRule type="cellIs" dxfId="289" priority="314" operator="equal">
      <formula>"""Open"""</formula>
    </cfRule>
  </conditionalFormatting>
  <conditionalFormatting sqref="E23">
    <cfRule type="cellIs" dxfId="288" priority="313" operator="equal">
      <formula>"""Open"""</formula>
    </cfRule>
  </conditionalFormatting>
  <conditionalFormatting sqref="B23:C23">
    <cfRule type="cellIs" dxfId="287" priority="312" operator="equal">
      <formula>"""Open"""</formula>
    </cfRule>
  </conditionalFormatting>
  <conditionalFormatting sqref="D23">
    <cfRule type="cellIs" dxfId="286" priority="311" operator="equal">
      <formula>"""Open"""</formula>
    </cfRule>
  </conditionalFormatting>
  <conditionalFormatting sqref="E26">
    <cfRule type="cellIs" dxfId="285" priority="304" operator="equal">
      <formula>"""Open"""</formula>
    </cfRule>
  </conditionalFormatting>
  <conditionalFormatting sqref="D26">
    <cfRule type="cellIs" dxfId="284" priority="302" operator="equal">
      <formula>"""Open"""</formula>
    </cfRule>
  </conditionalFormatting>
  <conditionalFormatting sqref="C27">
    <cfRule type="cellIs" dxfId="283" priority="300" operator="equal">
      <formula>"""Open"""</formula>
    </cfRule>
  </conditionalFormatting>
  <conditionalFormatting sqref="D27">
    <cfRule type="cellIs" dxfId="282" priority="299" operator="equal">
      <formula>"""Open"""</formula>
    </cfRule>
  </conditionalFormatting>
  <conditionalFormatting sqref="B14:D14">
    <cfRule type="cellIs" dxfId="281" priority="295" operator="notEqual">
      <formula>"Open"</formula>
    </cfRule>
  </conditionalFormatting>
  <conditionalFormatting sqref="B4:B9">
    <cfRule type="iconSet" priority="294">
      <iconSet iconSet="3TrafficLights2">
        <cfvo type="percent" val="0"/>
        <cfvo type="percent" val="33"/>
        <cfvo type="percent" val="67"/>
      </iconSet>
    </cfRule>
  </conditionalFormatting>
  <conditionalFormatting sqref="J14">
    <cfRule type="cellIs" priority="291" stopIfTrue="1" operator="equal">
      <formula>"Open"</formula>
    </cfRule>
    <cfRule type="cellIs" dxfId="280" priority="292" stopIfTrue="1" operator="equal">
      <formula>"ADS-B Common (P1-12)"</formula>
    </cfRule>
    <cfRule type="cellIs" dxfId="279" priority="293" stopIfTrue="1" operator="equal">
      <formula>"ADS-B Strobe (P1-30)"</formula>
    </cfRule>
  </conditionalFormatting>
  <conditionalFormatting sqref="I14">
    <cfRule type="cellIs" priority="282" stopIfTrue="1" operator="equal">
      <formula>"Open"</formula>
    </cfRule>
    <cfRule type="cellIs" dxfId="278" priority="283" stopIfTrue="1" operator="equal">
      <formula>"ADS-B Common (P1-12)"</formula>
    </cfRule>
    <cfRule type="cellIs" dxfId="277" priority="284" stopIfTrue="1" operator="equal">
      <formula>"ADS-B Strobe (P1-30)"</formula>
    </cfRule>
  </conditionalFormatting>
  <conditionalFormatting sqref="H14">
    <cfRule type="cellIs" priority="279" stopIfTrue="1" operator="equal">
      <formula>"Open"</formula>
    </cfRule>
    <cfRule type="cellIs" dxfId="276" priority="280" stopIfTrue="1" operator="equal">
      <formula>"ADS-B Common (P1-12)"</formula>
    </cfRule>
    <cfRule type="cellIs" dxfId="275" priority="281" stopIfTrue="1" operator="equal">
      <formula>"ADS-B Strobe (P1-30)"</formula>
    </cfRule>
  </conditionalFormatting>
  <conditionalFormatting sqref="G14">
    <cfRule type="cellIs" priority="276" stopIfTrue="1" operator="equal">
      <formula>"Open"</formula>
    </cfRule>
    <cfRule type="cellIs" dxfId="274" priority="277" stopIfTrue="1" operator="equal">
      <formula>"ADS-B Common (P1-12)"</formula>
    </cfRule>
    <cfRule type="cellIs" dxfId="273" priority="278" stopIfTrue="1" operator="equal">
      <formula>"ADS-B Strobe (P1-30)"</formula>
    </cfRule>
  </conditionalFormatting>
  <conditionalFormatting sqref="J15">
    <cfRule type="cellIs" priority="273" stopIfTrue="1" operator="equal">
      <formula>"Open"</formula>
    </cfRule>
    <cfRule type="cellIs" dxfId="272" priority="274" stopIfTrue="1" operator="equal">
      <formula>"ADS-B Common (P1-12)"</formula>
    </cfRule>
    <cfRule type="cellIs" dxfId="271" priority="275" stopIfTrue="1" operator="equal">
      <formula>"ADS-B Strobe (P1-30)"</formula>
    </cfRule>
  </conditionalFormatting>
  <conditionalFormatting sqref="I15">
    <cfRule type="cellIs" priority="270" stopIfTrue="1" operator="equal">
      <formula>"Open"</formula>
    </cfRule>
    <cfRule type="cellIs" dxfId="270" priority="271" stopIfTrue="1" operator="equal">
      <formula>"ADS-B Common (P1-12)"</formula>
    </cfRule>
    <cfRule type="cellIs" dxfId="269" priority="272" stopIfTrue="1" operator="equal">
      <formula>"ADS-B Strobe (P1-30)"</formula>
    </cfRule>
  </conditionalFormatting>
  <conditionalFormatting sqref="H15">
    <cfRule type="cellIs" priority="267" stopIfTrue="1" operator="equal">
      <formula>"Open"</formula>
    </cfRule>
    <cfRule type="cellIs" dxfId="268" priority="268" stopIfTrue="1" operator="equal">
      <formula>"ADS-B Common (P1-12)"</formula>
    </cfRule>
    <cfRule type="cellIs" dxfId="267" priority="269" stopIfTrue="1" operator="equal">
      <formula>"ADS-B Strobe (P1-30)"</formula>
    </cfRule>
  </conditionalFormatting>
  <conditionalFormatting sqref="G15">
    <cfRule type="cellIs" priority="264" stopIfTrue="1" operator="equal">
      <formula>"Open"</formula>
    </cfRule>
    <cfRule type="cellIs" dxfId="266" priority="265" stopIfTrue="1" operator="equal">
      <formula>"ADS-B Common (P1-12)"</formula>
    </cfRule>
    <cfRule type="cellIs" dxfId="265" priority="266" stopIfTrue="1" operator="equal">
      <formula>"ADS-B Strobe (P1-30)"</formula>
    </cfRule>
  </conditionalFormatting>
  <conditionalFormatting sqref="J16">
    <cfRule type="cellIs" priority="261" stopIfTrue="1" operator="equal">
      <formula>"Open"</formula>
    </cfRule>
    <cfRule type="cellIs" dxfId="264" priority="262" stopIfTrue="1" operator="equal">
      <formula>"ADS-B Common (P1-12)"</formula>
    </cfRule>
    <cfRule type="cellIs" dxfId="263" priority="263" stopIfTrue="1" operator="equal">
      <formula>"ADS-B Strobe (P1-30)"</formula>
    </cfRule>
  </conditionalFormatting>
  <conditionalFormatting sqref="I16">
    <cfRule type="cellIs" priority="258" stopIfTrue="1" operator="equal">
      <formula>"Open"</formula>
    </cfRule>
    <cfRule type="cellIs" dxfId="262" priority="259" stopIfTrue="1" operator="equal">
      <formula>"ADS-B Common (P1-12)"</formula>
    </cfRule>
    <cfRule type="cellIs" dxfId="261" priority="260" stopIfTrue="1" operator="equal">
      <formula>"ADS-B Strobe (P1-30)"</formula>
    </cfRule>
  </conditionalFormatting>
  <conditionalFormatting sqref="G18">
    <cfRule type="cellIs" priority="255" stopIfTrue="1" operator="equal">
      <formula>"Open"</formula>
    </cfRule>
    <cfRule type="cellIs" dxfId="260" priority="256" stopIfTrue="1" operator="equal">
      <formula>"ADS-B Common (P1-12)"</formula>
    </cfRule>
    <cfRule type="cellIs" dxfId="259" priority="257" stopIfTrue="1" operator="equal">
      <formula>"ADS-B Strobe (P1-30)"</formula>
    </cfRule>
  </conditionalFormatting>
  <conditionalFormatting sqref="J19">
    <cfRule type="cellIs" priority="252" stopIfTrue="1" operator="equal">
      <formula>"Open"</formula>
    </cfRule>
    <cfRule type="cellIs" dxfId="258" priority="253" stopIfTrue="1" operator="equal">
      <formula>"ADS-B Common (P1-12)"</formula>
    </cfRule>
    <cfRule type="cellIs" dxfId="257" priority="254" stopIfTrue="1" operator="equal">
      <formula>"ADS-B Strobe (P1-30)"</formula>
    </cfRule>
  </conditionalFormatting>
  <conditionalFormatting sqref="I19">
    <cfRule type="cellIs" priority="249" stopIfTrue="1" operator="equal">
      <formula>"Open"</formula>
    </cfRule>
    <cfRule type="cellIs" dxfId="256" priority="250" stopIfTrue="1" operator="equal">
      <formula>"ADS-B Common (P1-12)"</formula>
    </cfRule>
    <cfRule type="cellIs" dxfId="255" priority="251" stopIfTrue="1" operator="equal">
      <formula>"ADS-B Strobe (P1-30)"</formula>
    </cfRule>
  </conditionalFormatting>
  <conditionalFormatting sqref="H19">
    <cfRule type="cellIs" priority="246" stopIfTrue="1" operator="equal">
      <formula>"Open"</formula>
    </cfRule>
    <cfRule type="cellIs" dxfId="254" priority="247" stopIfTrue="1" operator="equal">
      <formula>"ADS-B Common (P1-12)"</formula>
    </cfRule>
    <cfRule type="cellIs" dxfId="253" priority="248" stopIfTrue="1" operator="equal">
      <formula>"ADS-B Strobe (P1-30)"</formula>
    </cfRule>
  </conditionalFormatting>
  <conditionalFormatting sqref="J22">
    <cfRule type="cellIs" dxfId="252" priority="245" operator="equal">
      <formula>"Mode S Common (P1-32)"</formula>
    </cfRule>
  </conditionalFormatting>
  <conditionalFormatting sqref="J23">
    <cfRule type="cellIs" dxfId="251" priority="244" operator="equal">
      <formula>"Mode S Common (P1-32)"</formula>
    </cfRule>
  </conditionalFormatting>
  <conditionalFormatting sqref="I22">
    <cfRule type="cellIs" dxfId="250" priority="243" operator="equal">
      <formula>"Mode S Common (P1-32)"</formula>
    </cfRule>
  </conditionalFormatting>
  <conditionalFormatting sqref="H22">
    <cfRule type="cellIs" dxfId="249" priority="242" operator="equal">
      <formula>"Mode S Common (P1-32)"</formula>
    </cfRule>
  </conditionalFormatting>
  <conditionalFormatting sqref="G22">
    <cfRule type="cellIs" dxfId="248" priority="241" operator="equal">
      <formula>"Mode S Common (P1-32)"</formula>
    </cfRule>
  </conditionalFormatting>
  <conditionalFormatting sqref="I23">
    <cfRule type="cellIs" dxfId="247" priority="240" operator="equal">
      <formula>"Mode S Common (P1-32)"</formula>
    </cfRule>
  </conditionalFormatting>
  <conditionalFormatting sqref="H23">
    <cfRule type="cellIs" dxfId="246" priority="239" operator="equal">
      <formula>"Mode S Common (P1-32)"</formula>
    </cfRule>
  </conditionalFormatting>
  <conditionalFormatting sqref="G23">
    <cfRule type="cellIs" dxfId="245" priority="238" operator="equal">
      <formula>"Mode S Common (P1-32)"</formula>
    </cfRule>
  </conditionalFormatting>
  <conditionalFormatting sqref="J24">
    <cfRule type="cellIs" dxfId="244" priority="237" operator="equal">
      <formula>"Mode S Common (P1-32)"</formula>
    </cfRule>
  </conditionalFormatting>
  <conditionalFormatting sqref="I24">
    <cfRule type="cellIs" dxfId="243" priority="236" operator="equal">
      <formula>"Mode S Common (P1-32)"</formula>
    </cfRule>
  </conditionalFormatting>
  <conditionalFormatting sqref="H24">
    <cfRule type="cellIs" dxfId="242" priority="235" operator="equal">
      <formula>"Mode S Common (P1-32)"</formula>
    </cfRule>
  </conditionalFormatting>
  <conditionalFormatting sqref="G24">
    <cfRule type="cellIs" dxfId="241" priority="234" operator="equal">
      <formula>"Mode S Common (P1-32)"</formula>
    </cfRule>
  </conditionalFormatting>
  <conditionalFormatting sqref="J25">
    <cfRule type="cellIs" dxfId="240" priority="233" operator="equal">
      <formula>"Mode S Common (P1-32)"</formula>
    </cfRule>
  </conditionalFormatting>
  <conditionalFormatting sqref="I25">
    <cfRule type="cellIs" dxfId="239" priority="232" operator="equal">
      <formula>"Mode S Common (P1-32)"</formula>
    </cfRule>
  </conditionalFormatting>
  <conditionalFormatting sqref="H25">
    <cfRule type="cellIs" dxfId="238" priority="231" operator="equal">
      <formula>"Mode S Common (P1-32)"</formula>
    </cfRule>
  </conditionalFormatting>
  <conditionalFormatting sqref="G25">
    <cfRule type="cellIs" dxfId="237" priority="230" operator="equal">
      <formula>"Mode S Common (P1-32)"</formula>
    </cfRule>
  </conditionalFormatting>
  <conditionalFormatting sqref="J26">
    <cfRule type="cellIs" dxfId="236" priority="229" operator="equal">
      <formula>"Mode S Common (P1-32)"</formula>
    </cfRule>
  </conditionalFormatting>
  <conditionalFormatting sqref="I26">
    <cfRule type="cellIs" dxfId="235" priority="228" operator="equal">
      <formula>"Mode S Common (P1-32)"</formula>
    </cfRule>
  </conditionalFormatting>
  <conditionalFormatting sqref="H26">
    <cfRule type="cellIs" dxfId="234" priority="227" operator="equal">
      <formula>"Mode S Common (P1-32)"</formula>
    </cfRule>
  </conditionalFormatting>
  <conditionalFormatting sqref="G26">
    <cfRule type="cellIs" dxfId="233" priority="226" operator="equal">
      <formula>"Mode S Common (P1-32)"</formula>
    </cfRule>
  </conditionalFormatting>
  <conditionalFormatting sqref="J27">
    <cfRule type="cellIs" dxfId="232" priority="225" operator="equal">
      <formula>"Mode S Common (P1-32)"</formula>
    </cfRule>
  </conditionalFormatting>
  <conditionalFormatting sqref="I27">
    <cfRule type="cellIs" dxfId="231" priority="224" operator="equal">
      <formula>"Mode S Common (P1-32)"</formula>
    </cfRule>
  </conditionalFormatting>
  <conditionalFormatting sqref="H27">
    <cfRule type="cellIs" dxfId="230" priority="223" operator="equal">
      <formula>"Mode S Common (P1-32)"</formula>
    </cfRule>
  </conditionalFormatting>
  <conditionalFormatting sqref="G27">
    <cfRule type="cellIs" dxfId="229" priority="222" operator="equal">
      <formula>"Mode S Common (P1-32)"</formula>
    </cfRule>
  </conditionalFormatting>
  <conditionalFormatting sqref="I17">
    <cfRule type="cellIs" dxfId="228" priority="219" operator="equal">
      <formula>"Common Ground (P2-52)"</formula>
    </cfRule>
    <cfRule type="cellIs" dxfId="227" priority="220" operator="equal">
      <formula>"""Open"""</formula>
    </cfRule>
  </conditionalFormatting>
  <conditionalFormatting sqref="J18">
    <cfRule type="cellIs" dxfId="226" priority="218" operator="equal">
      <formula>"""Open"""</formula>
    </cfRule>
  </conditionalFormatting>
  <conditionalFormatting sqref="J18">
    <cfRule type="cellIs" dxfId="225" priority="216" operator="equal">
      <formula>"Common Ground (P2-52)"</formula>
    </cfRule>
    <cfRule type="cellIs" dxfId="224" priority="217" operator="equal">
      <formula>"""Open"""</formula>
    </cfRule>
  </conditionalFormatting>
  <conditionalFormatting sqref="I18">
    <cfRule type="cellIs" dxfId="223" priority="215" operator="equal">
      <formula>"""Open"""</formula>
    </cfRule>
  </conditionalFormatting>
  <conditionalFormatting sqref="I18">
    <cfRule type="cellIs" dxfId="222" priority="214" operator="equal">
      <formula>"""Open"""</formula>
    </cfRule>
  </conditionalFormatting>
  <conditionalFormatting sqref="I18">
    <cfRule type="cellIs" dxfId="221" priority="212" operator="equal">
      <formula>"Common Ground (P2-52)"</formula>
    </cfRule>
    <cfRule type="cellIs" dxfId="220" priority="213" operator="equal">
      <formula>"""Open"""</formula>
    </cfRule>
  </conditionalFormatting>
  <conditionalFormatting sqref="G19">
    <cfRule type="cellIs" dxfId="219" priority="211" operator="equal">
      <formula>"""Open"""</formula>
    </cfRule>
  </conditionalFormatting>
  <conditionalFormatting sqref="G19">
    <cfRule type="cellIs" dxfId="218" priority="210" operator="equal">
      <formula>"""Open"""</formula>
    </cfRule>
  </conditionalFormatting>
  <conditionalFormatting sqref="G19">
    <cfRule type="cellIs" dxfId="217" priority="209" operator="equal">
      <formula>"""Open"""</formula>
    </cfRule>
  </conditionalFormatting>
  <conditionalFormatting sqref="G19">
    <cfRule type="cellIs" dxfId="216" priority="207" operator="equal">
      <formula>"Common Ground (P2-52)"</formula>
    </cfRule>
    <cfRule type="cellIs" dxfId="215" priority="208" operator="equal">
      <formula>"""Open"""</formula>
    </cfRule>
  </conditionalFormatting>
  <conditionalFormatting sqref="I20">
    <cfRule type="cellIs" dxfId="214" priority="206" operator="equal">
      <formula>"""Open"""</formula>
    </cfRule>
  </conditionalFormatting>
  <conditionalFormatting sqref="I20">
    <cfRule type="cellIs" dxfId="213" priority="205" operator="equal">
      <formula>"""Open"""</formula>
    </cfRule>
  </conditionalFormatting>
  <conditionalFormatting sqref="I20">
    <cfRule type="cellIs" dxfId="212" priority="204" operator="equal">
      <formula>"""Open"""</formula>
    </cfRule>
  </conditionalFormatting>
  <conditionalFormatting sqref="I20">
    <cfRule type="cellIs" dxfId="211" priority="203" operator="equal">
      <formula>"""Open"""</formula>
    </cfRule>
  </conditionalFormatting>
  <conditionalFormatting sqref="I20">
    <cfRule type="cellIs" dxfId="210" priority="201" operator="equal">
      <formula>"Common Ground (P2-52)"</formula>
    </cfRule>
    <cfRule type="cellIs" dxfId="209" priority="202" operator="equal">
      <formula>"""Open"""</formula>
    </cfRule>
  </conditionalFormatting>
  <conditionalFormatting sqref="G20">
    <cfRule type="cellIs" dxfId="208" priority="200" operator="equal">
      <formula>"""Open"""</formula>
    </cfRule>
  </conditionalFormatting>
  <conditionalFormatting sqref="G20">
    <cfRule type="cellIs" dxfId="207" priority="199" operator="equal">
      <formula>"""Open"""</formula>
    </cfRule>
  </conditionalFormatting>
  <conditionalFormatting sqref="G20">
    <cfRule type="cellIs" dxfId="206" priority="198" operator="equal">
      <formula>"""Open"""</formula>
    </cfRule>
  </conditionalFormatting>
  <conditionalFormatting sqref="G20">
    <cfRule type="cellIs" dxfId="205" priority="197" operator="equal">
      <formula>"""Open"""</formula>
    </cfRule>
  </conditionalFormatting>
  <conditionalFormatting sqref="G20">
    <cfRule type="cellIs" dxfId="204" priority="196" operator="equal">
      <formula>"""Open"""</formula>
    </cfRule>
  </conditionalFormatting>
  <conditionalFormatting sqref="G20">
    <cfRule type="cellIs" dxfId="203" priority="194" operator="equal">
      <formula>"Common Ground (P2-52)"</formula>
    </cfRule>
    <cfRule type="cellIs" dxfId="202" priority="195" operator="equal">
      <formula>"""Open"""</formula>
    </cfRule>
  </conditionalFormatting>
  <conditionalFormatting sqref="H28">
    <cfRule type="cellIs" dxfId="201" priority="193" operator="equal">
      <formula>"""Open"""</formula>
    </cfRule>
  </conditionalFormatting>
  <conditionalFormatting sqref="H28">
    <cfRule type="cellIs" dxfId="200" priority="192" operator="equal">
      <formula>"""Open"""</formula>
    </cfRule>
  </conditionalFormatting>
  <conditionalFormatting sqref="H28">
    <cfRule type="cellIs" dxfId="199" priority="191" operator="equal">
      <formula>"""Open"""</formula>
    </cfRule>
  </conditionalFormatting>
  <conditionalFormatting sqref="H28">
    <cfRule type="cellIs" dxfId="198" priority="190" operator="equal">
      <formula>"""Open"""</formula>
    </cfRule>
  </conditionalFormatting>
  <conditionalFormatting sqref="H28">
    <cfRule type="cellIs" dxfId="197" priority="189" operator="equal">
      <formula>"""Open"""</formula>
    </cfRule>
  </conditionalFormatting>
  <conditionalFormatting sqref="H28">
    <cfRule type="cellIs" dxfId="196" priority="188" operator="equal">
      <formula>"""Open"""</formula>
    </cfRule>
  </conditionalFormatting>
  <conditionalFormatting sqref="H28">
    <cfRule type="cellIs" dxfId="195" priority="186" operator="equal">
      <formula>"Common Ground (P2-52)"</formula>
    </cfRule>
    <cfRule type="cellIs" dxfId="194" priority="187" operator="equal">
      <formula>"""Open"""</formula>
    </cfRule>
  </conditionalFormatting>
  <conditionalFormatting sqref="J28">
    <cfRule type="cellIs" dxfId="193" priority="185" operator="equal">
      <formula>"""Open"""</formula>
    </cfRule>
  </conditionalFormatting>
  <conditionalFormatting sqref="J28">
    <cfRule type="cellIs" dxfId="192" priority="184" operator="equal">
      <formula>"""Open"""</formula>
    </cfRule>
  </conditionalFormatting>
  <conditionalFormatting sqref="J28">
    <cfRule type="cellIs" dxfId="191" priority="183" operator="equal">
      <formula>"""Open"""</formula>
    </cfRule>
  </conditionalFormatting>
  <conditionalFormatting sqref="J28">
    <cfRule type="cellIs" dxfId="190" priority="182" operator="equal">
      <formula>"""Open"""</formula>
    </cfRule>
  </conditionalFormatting>
  <conditionalFormatting sqref="J28">
    <cfRule type="cellIs" dxfId="189" priority="181" operator="equal">
      <formula>"""Open"""</formula>
    </cfRule>
  </conditionalFormatting>
  <conditionalFormatting sqref="J28">
    <cfRule type="cellIs" dxfId="188" priority="180" operator="equal">
      <formula>"""Open"""</formula>
    </cfRule>
  </conditionalFormatting>
  <conditionalFormatting sqref="J28">
    <cfRule type="cellIs" dxfId="187" priority="179" operator="equal">
      <formula>"""Open"""</formula>
    </cfRule>
  </conditionalFormatting>
  <conditionalFormatting sqref="J28">
    <cfRule type="cellIs" dxfId="186" priority="177" operator="equal">
      <formula>"Common Ground (P2-52)"</formula>
    </cfRule>
    <cfRule type="cellIs" dxfId="185" priority="178" operator="equal">
      <formula>"""Open"""</formula>
    </cfRule>
  </conditionalFormatting>
  <conditionalFormatting sqref="E24">
    <cfRule type="cellIs" dxfId="184" priority="176" operator="notEqual">
      <formula>"Open"</formula>
    </cfRule>
  </conditionalFormatting>
  <conditionalFormatting sqref="E24">
    <cfRule type="cellIs" dxfId="183" priority="175" operator="equal">
      <formula>"""Open"""</formula>
    </cfRule>
  </conditionalFormatting>
  <conditionalFormatting sqref="E24">
    <cfRule type="cellIs" dxfId="182" priority="174" operator="equal">
      <formula>"""Open"""</formula>
    </cfRule>
  </conditionalFormatting>
  <conditionalFormatting sqref="E24">
    <cfRule type="cellIs" dxfId="181" priority="173" operator="equal">
      <formula>"""Open"""</formula>
    </cfRule>
  </conditionalFormatting>
  <conditionalFormatting sqref="E24">
    <cfRule type="cellIs" dxfId="180" priority="172" operator="equal">
      <formula>"""Open"""</formula>
    </cfRule>
  </conditionalFormatting>
  <conditionalFormatting sqref="E24">
    <cfRule type="cellIs" dxfId="179" priority="171" operator="equal">
      <formula>"""Open"""</formula>
    </cfRule>
  </conditionalFormatting>
  <conditionalFormatting sqref="E24">
    <cfRule type="cellIs" dxfId="178" priority="170" operator="equal">
      <formula>"""Open"""</formula>
    </cfRule>
  </conditionalFormatting>
  <conditionalFormatting sqref="E24">
    <cfRule type="cellIs" dxfId="177" priority="169" operator="equal">
      <formula>"""Open"""</formula>
    </cfRule>
  </conditionalFormatting>
  <conditionalFormatting sqref="E24">
    <cfRule type="cellIs" dxfId="176" priority="168" operator="equal">
      <formula>"""Open"""</formula>
    </cfRule>
  </conditionalFormatting>
  <conditionalFormatting sqref="E24">
    <cfRule type="cellIs" dxfId="175" priority="166" operator="equal">
      <formula>"Common Ground (P2-52)"</formula>
    </cfRule>
    <cfRule type="cellIs" dxfId="174" priority="167" operator="equal">
      <formula>"""Open"""</formula>
    </cfRule>
  </conditionalFormatting>
  <conditionalFormatting sqref="D24">
    <cfRule type="cellIs" dxfId="173" priority="165" operator="notEqual">
      <formula>"Open"</formula>
    </cfRule>
  </conditionalFormatting>
  <conditionalFormatting sqref="D24">
    <cfRule type="cellIs" dxfId="172" priority="164" operator="equal">
      <formula>"""Open"""</formula>
    </cfRule>
  </conditionalFormatting>
  <conditionalFormatting sqref="D24">
    <cfRule type="cellIs" dxfId="171" priority="163" operator="equal">
      <formula>"""Open"""</formula>
    </cfRule>
  </conditionalFormatting>
  <conditionalFormatting sqref="D24">
    <cfRule type="cellIs" dxfId="170" priority="162" operator="equal">
      <formula>"""Open"""</formula>
    </cfRule>
  </conditionalFormatting>
  <conditionalFormatting sqref="D24">
    <cfRule type="cellIs" dxfId="169" priority="161" operator="equal">
      <formula>"""Open"""</formula>
    </cfRule>
  </conditionalFormatting>
  <conditionalFormatting sqref="D24">
    <cfRule type="cellIs" dxfId="168" priority="160" operator="equal">
      <formula>"""Open"""</formula>
    </cfRule>
  </conditionalFormatting>
  <conditionalFormatting sqref="D24">
    <cfRule type="cellIs" dxfId="167" priority="159" operator="equal">
      <formula>"""Open"""</formula>
    </cfRule>
  </conditionalFormatting>
  <conditionalFormatting sqref="D24">
    <cfRule type="cellIs" dxfId="166" priority="158" operator="equal">
      <formula>"""Open"""</formula>
    </cfRule>
  </conditionalFormatting>
  <conditionalFormatting sqref="D24">
    <cfRule type="cellIs" dxfId="165" priority="157" operator="equal">
      <formula>"""Open"""</formula>
    </cfRule>
  </conditionalFormatting>
  <conditionalFormatting sqref="D24">
    <cfRule type="cellIs" dxfId="164" priority="155" operator="equal">
      <formula>"Common Ground (P2-52)"</formula>
    </cfRule>
    <cfRule type="cellIs" dxfId="163" priority="156" operator="equal">
      <formula>"""Open"""</formula>
    </cfRule>
  </conditionalFormatting>
  <conditionalFormatting sqref="C24">
    <cfRule type="cellIs" dxfId="162" priority="154" operator="notEqual">
      <formula>"Open"</formula>
    </cfRule>
  </conditionalFormatting>
  <conditionalFormatting sqref="C24">
    <cfRule type="cellIs" dxfId="161" priority="153" operator="equal">
      <formula>"""Open"""</formula>
    </cfRule>
  </conditionalFormatting>
  <conditionalFormatting sqref="C24">
    <cfRule type="cellIs" dxfId="160" priority="152" operator="equal">
      <formula>"""Open"""</formula>
    </cfRule>
  </conditionalFormatting>
  <conditionalFormatting sqref="C24">
    <cfRule type="cellIs" dxfId="159" priority="151" operator="equal">
      <formula>"""Open"""</formula>
    </cfRule>
  </conditionalFormatting>
  <conditionalFormatting sqref="C24">
    <cfRule type="cellIs" dxfId="158" priority="150" operator="equal">
      <formula>"""Open"""</formula>
    </cfRule>
  </conditionalFormatting>
  <conditionalFormatting sqref="C24">
    <cfRule type="cellIs" dxfId="157" priority="149" operator="equal">
      <formula>"""Open"""</formula>
    </cfRule>
  </conditionalFormatting>
  <conditionalFormatting sqref="C24">
    <cfRule type="cellIs" dxfId="156" priority="148" operator="equal">
      <formula>"""Open"""</formula>
    </cfRule>
  </conditionalFormatting>
  <conditionalFormatting sqref="C24">
    <cfRule type="cellIs" dxfId="155" priority="147" operator="equal">
      <formula>"""Open"""</formula>
    </cfRule>
  </conditionalFormatting>
  <conditionalFormatting sqref="C24">
    <cfRule type="cellIs" dxfId="154" priority="146" operator="equal">
      <formula>"""Open"""</formula>
    </cfRule>
  </conditionalFormatting>
  <conditionalFormatting sqref="C24">
    <cfRule type="cellIs" dxfId="153" priority="144" operator="equal">
      <formula>"Common Ground (P2-52)"</formula>
    </cfRule>
    <cfRule type="cellIs" dxfId="152" priority="145" operator="equal">
      <formula>"""Open"""</formula>
    </cfRule>
  </conditionalFormatting>
  <conditionalFormatting sqref="B24">
    <cfRule type="cellIs" dxfId="151" priority="143" operator="notEqual">
      <formula>"Open"</formula>
    </cfRule>
  </conditionalFormatting>
  <conditionalFormatting sqref="B24">
    <cfRule type="cellIs" dxfId="150" priority="142" operator="equal">
      <formula>"""Open"""</formula>
    </cfRule>
  </conditionalFormatting>
  <conditionalFormatting sqref="B24">
    <cfRule type="cellIs" dxfId="149" priority="141" operator="equal">
      <formula>"""Open"""</formula>
    </cfRule>
  </conditionalFormatting>
  <conditionalFormatting sqref="B24">
    <cfRule type="cellIs" dxfId="148" priority="140" operator="equal">
      <formula>"""Open"""</formula>
    </cfRule>
  </conditionalFormatting>
  <conditionalFormatting sqref="B24">
    <cfRule type="cellIs" dxfId="147" priority="139" operator="equal">
      <formula>"""Open"""</formula>
    </cfRule>
  </conditionalFormatting>
  <conditionalFormatting sqref="B24">
    <cfRule type="cellIs" dxfId="146" priority="138" operator="equal">
      <formula>"""Open"""</formula>
    </cfRule>
  </conditionalFormatting>
  <conditionalFormatting sqref="B24">
    <cfRule type="cellIs" dxfId="145" priority="137" operator="equal">
      <formula>"""Open"""</formula>
    </cfRule>
  </conditionalFormatting>
  <conditionalFormatting sqref="B24">
    <cfRule type="cellIs" dxfId="144" priority="136" operator="equal">
      <formula>"""Open"""</formula>
    </cfRule>
  </conditionalFormatting>
  <conditionalFormatting sqref="B24">
    <cfRule type="cellIs" dxfId="143" priority="135" operator="equal">
      <formula>"""Open"""</formula>
    </cfRule>
  </conditionalFormatting>
  <conditionalFormatting sqref="B24">
    <cfRule type="cellIs" dxfId="142" priority="133" operator="equal">
      <formula>"Common Ground (P2-52)"</formula>
    </cfRule>
    <cfRule type="cellIs" dxfId="141" priority="134" operator="equal">
      <formula>"""Open"""</formula>
    </cfRule>
  </conditionalFormatting>
  <conditionalFormatting sqref="E25">
    <cfRule type="cellIs" dxfId="140" priority="132" operator="notEqual">
      <formula>"Open"</formula>
    </cfRule>
  </conditionalFormatting>
  <conditionalFormatting sqref="E25">
    <cfRule type="cellIs" dxfId="139" priority="131" operator="equal">
      <formula>"""Open"""</formula>
    </cfRule>
  </conditionalFormatting>
  <conditionalFormatting sqref="E25">
    <cfRule type="cellIs" dxfId="138" priority="130" operator="equal">
      <formula>"""Open"""</formula>
    </cfRule>
  </conditionalFormatting>
  <conditionalFormatting sqref="E25">
    <cfRule type="cellIs" dxfId="137" priority="129" operator="equal">
      <formula>"""Open"""</formula>
    </cfRule>
  </conditionalFormatting>
  <conditionalFormatting sqref="E25">
    <cfRule type="cellIs" dxfId="136" priority="128" operator="equal">
      <formula>"""Open"""</formula>
    </cfRule>
  </conditionalFormatting>
  <conditionalFormatting sqref="E25">
    <cfRule type="cellIs" dxfId="135" priority="127" operator="equal">
      <formula>"""Open"""</formula>
    </cfRule>
  </conditionalFormatting>
  <conditionalFormatting sqref="E25">
    <cfRule type="cellIs" dxfId="134" priority="126" operator="equal">
      <formula>"""Open"""</formula>
    </cfRule>
  </conditionalFormatting>
  <conditionalFormatting sqref="E25">
    <cfRule type="cellIs" dxfId="133" priority="125" operator="equal">
      <formula>"""Open"""</formula>
    </cfRule>
  </conditionalFormatting>
  <conditionalFormatting sqref="E25">
    <cfRule type="cellIs" dxfId="132" priority="124" operator="equal">
      <formula>"""Open"""</formula>
    </cfRule>
  </conditionalFormatting>
  <conditionalFormatting sqref="E25">
    <cfRule type="cellIs" dxfId="131" priority="122" operator="equal">
      <formula>"Common Ground (P2-52)"</formula>
    </cfRule>
    <cfRule type="cellIs" dxfId="130" priority="123" operator="equal">
      <formula>"""Open"""</formula>
    </cfRule>
  </conditionalFormatting>
  <conditionalFormatting sqref="D25">
    <cfRule type="cellIs" dxfId="129" priority="121" operator="notEqual">
      <formula>"Open"</formula>
    </cfRule>
  </conditionalFormatting>
  <conditionalFormatting sqref="D25">
    <cfRule type="cellIs" dxfId="128" priority="120" operator="equal">
      <formula>"""Open"""</formula>
    </cfRule>
  </conditionalFormatting>
  <conditionalFormatting sqref="D25">
    <cfRule type="cellIs" dxfId="127" priority="119" operator="equal">
      <formula>"""Open"""</formula>
    </cfRule>
  </conditionalFormatting>
  <conditionalFormatting sqref="D25">
    <cfRule type="cellIs" dxfId="126" priority="118" operator="equal">
      <formula>"""Open"""</formula>
    </cfRule>
  </conditionalFormatting>
  <conditionalFormatting sqref="D25">
    <cfRule type="cellIs" dxfId="125" priority="117" operator="equal">
      <formula>"""Open"""</formula>
    </cfRule>
  </conditionalFormatting>
  <conditionalFormatting sqref="D25">
    <cfRule type="cellIs" dxfId="124" priority="116" operator="equal">
      <formula>"""Open"""</formula>
    </cfRule>
  </conditionalFormatting>
  <conditionalFormatting sqref="D25">
    <cfRule type="cellIs" dxfId="123" priority="115" operator="equal">
      <formula>"""Open"""</formula>
    </cfRule>
  </conditionalFormatting>
  <conditionalFormatting sqref="D25">
    <cfRule type="cellIs" dxfId="122" priority="114" operator="equal">
      <formula>"""Open"""</formula>
    </cfRule>
  </conditionalFormatting>
  <conditionalFormatting sqref="D25">
    <cfRule type="cellIs" dxfId="121" priority="113" operator="equal">
      <formula>"""Open"""</formula>
    </cfRule>
  </conditionalFormatting>
  <conditionalFormatting sqref="D25">
    <cfRule type="cellIs" dxfId="120" priority="111" operator="equal">
      <formula>"Common Ground (P2-52)"</formula>
    </cfRule>
    <cfRule type="cellIs" dxfId="119" priority="112" operator="equal">
      <formula>"""Open"""</formula>
    </cfRule>
  </conditionalFormatting>
  <conditionalFormatting sqref="C25">
    <cfRule type="cellIs" dxfId="118" priority="110" operator="notEqual">
      <formula>"Open"</formula>
    </cfRule>
  </conditionalFormatting>
  <conditionalFormatting sqref="C25">
    <cfRule type="cellIs" dxfId="117" priority="109" operator="equal">
      <formula>"""Open"""</formula>
    </cfRule>
  </conditionalFormatting>
  <conditionalFormatting sqref="C25">
    <cfRule type="cellIs" dxfId="116" priority="108" operator="equal">
      <formula>"""Open"""</formula>
    </cfRule>
  </conditionalFormatting>
  <conditionalFormatting sqref="C25">
    <cfRule type="cellIs" dxfId="115" priority="107" operator="equal">
      <formula>"""Open"""</formula>
    </cfRule>
  </conditionalFormatting>
  <conditionalFormatting sqref="C25">
    <cfRule type="cellIs" dxfId="114" priority="106" operator="equal">
      <formula>"""Open"""</formula>
    </cfRule>
  </conditionalFormatting>
  <conditionalFormatting sqref="C25">
    <cfRule type="cellIs" dxfId="113" priority="105" operator="equal">
      <formula>"""Open"""</formula>
    </cfRule>
  </conditionalFormatting>
  <conditionalFormatting sqref="C25">
    <cfRule type="cellIs" dxfId="112" priority="104" operator="equal">
      <formula>"""Open"""</formula>
    </cfRule>
  </conditionalFormatting>
  <conditionalFormatting sqref="C25">
    <cfRule type="cellIs" dxfId="111" priority="103" operator="equal">
      <formula>"""Open"""</formula>
    </cfRule>
  </conditionalFormatting>
  <conditionalFormatting sqref="C25">
    <cfRule type="cellIs" dxfId="110" priority="102" operator="equal">
      <formula>"""Open"""</formula>
    </cfRule>
  </conditionalFormatting>
  <conditionalFormatting sqref="C25">
    <cfRule type="cellIs" dxfId="109" priority="100" operator="equal">
      <formula>"Common Ground (P2-52)"</formula>
    </cfRule>
    <cfRule type="cellIs" dxfId="108" priority="101" operator="equal">
      <formula>"""Open"""</formula>
    </cfRule>
  </conditionalFormatting>
  <conditionalFormatting sqref="B25">
    <cfRule type="cellIs" dxfId="107" priority="99" operator="notEqual">
      <formula>"Open"</formula>
    </cfRule>
  </conditionalFormatting>
  <conditionalFormatting sqref="B25">
    <cfRule type="cellIs" dxfId="106" priority="98" operator="equal">
      <formula>"""Open"""</formula>
    </cfRule>
  </conditionalFormatting>
  <conditionalFormatting sqref="B25">
    <cfRule type="cellIs" dxfId="105" priority="97" operator="equal">
      <formula>"""Open"""</formula>
    </cfRule>
  </conditionalFormatting>
  <conditionalFormatting sqref="B25">
    <cfRule type="cellIs" dxfId="104" priority="96" operator="equal">
      <formula>"""Open"""</formula>
    </cfRule>
  </conditionalFormatting>
  <conditionalFormatting sqref="B25">
    <cfRule type="cellIs" dxfId="103" priority="95" operator="equal">
      <formula>"""Open"""</formula>
    </cfRule>
  </conditionalFormatting>
  <conditionalFormatting sqref="B25">
    <cfRule type="cellIs" dxfId="102" priority="94" operator="equal">
      <formula>"""Open"""</formula>
    </cfRule>
  </conditionalFormatting>
  <conditionalFormatting sqref="B25">
    <cfRule type="cellIs" dxfId="101" priority="93" operator="equal">
      <formula>"""Open"""</formula>
    </cfRule>
  </conditionalFormatting>
  <conditionalFormatting sqref="B25">
    <cfRule type="cellIs" dxfId="100" priority="92" operator="equal">
      <formula>"""Open"""</formula>
    </cfRule>
  </conditionalFormatting>
  <conditionalFormatting sqref="B25">
    <cfRule type="cellIs" dxfId="99" priority="91" operator="equal">
      <formula>"""Open"""</formula>
    </cfRule>
  </conditionalFormatting>
  <conditionalFormatting sqref="B25">
    <cfRule type="cellIs" dxfId="98" priority="89" operator="equal">
      <formula>"Common Ground (P2-52)"</formula>
    </cfRule>
    <cfRule type="cellIs" dxfId="97" priority="90" operator="equal">
      <formula>"""Open"""</formula>
    </cfRule>
  </conditionalFormatting>
  <conditionalFormatting sqref="C26">
    <cfRule type="cellIs" dxfId="96" priority="88" operator="notEqual">
      <formula>"Open"</formula>
    </cfRule>
  </conditionalFormatting>
  <conditionalFormatting sqref="C26">
    <cfRule type="cellIs" dxfId="95" priority="87" operator="equal">
      <formula>"""Open"""</formula>
    </cfRule>
  </conditionalFormatting>
  <conditionalFormatting sqref="C26">
    <cfRule type="cellIs" dxfId="94" priority="86" operator="equal">
      <formula>"""Open"""</formula>
    </cfRule>
  </conditionalFormatting>
  <conditionalFormatting sqref="C26">
    <cfRule type="cellIs" dxfId="93" priority="85" operator="equal">
      <formula>"""Open"""</formula>
    </cfRule>
  </conditionalFormatting>
  <conditionalFormatting sqref="C26">
    <cfRule type="cellIs" dxfId="92" priority="84" operator="equal">
      <formula>"""Open"""</formula>
    </cfRule>
  </conditionalFormatting>
  <conditionalFormatting sqref="C26">
    <cfRule type="cellIs" dxfId="91" priority="83" operator="equal">
      <formula>"""Open"""</formula>
    </cfRule>
  </conditionalFormatting>
  <conditionalFormatting sqref="C26">
    <cfRule type="cellIs" dxfId="90" priority="82" operator="equal">
      <formula>"""Open"""</formula>
    </cfRule>
  </conditionalFormatting>
  <conditionalFormatting sqref="C26">
    <cfRule type="cellIs" dxfId="89" priority="81" operator="equal">
      <formula>"""Open"""</formula>
    </cfRule>
  </conditionalFormatting>
  <conditionalFormatting sqref="C26">
    <cfRule type="cellIs" dxfId="88" priority="80" operator="equal">
      <formula>"""Open"""</formula>
    </cfRule>
  </conditionalFormatting>
  <conditionalFormatting sqref="C26">
    <cfRule type="cellIs" dxfId="87" priority="78" operator="equal">
      <formula>"Common Ground (P2-52)"</formula>
    </cfRule>
    <cfRule type="cellIs" dxfId="86" priority="79" operator="equal">
      <formula>"""Open"""</formula>
    </cfRule>
  </conditionalFormatting>
  <conditionalFormatting sqref="E27">
    <cfRule type="cellIs" dxfId="85" priority="66" operator="notEqual">
      <formula>"Open"</formula>
    </cfRule>
  </conditionalFormatting>
  <conditionalFormatting sqref="E27">
    <cfRule type="cellIs" dxfId="84" priority="65" operator="equal">
      <formula>"""Open"""</formula>
    </cfRule>
  </conditionalFormatting>
  <conditionalFormatting sqref="E27">
    <cfRule type="cellIs" dxfId="83" priority="64" operator="equal">
      <formula>"""Open"""</formula>
    </cfRule>
  </conditionalFormatting>
  <conditionalFormatting sqref="E27">
    <cfRule type="cellIs" dxfId="82" priority="63" operator="equal">
      <formula>"""Open"""</formula>
    </cfRule>
  </conditionalFormatting>
  <conditionalFormatting sqref="E27">
    <cfRule type="cellIs" dxfId="81" priority="62" operator="equal">
      <formula>"""Open"""</formula>
    </cfRule>
  </conditionalFormatting>
  <conditionalFormatting sqref="E27">
    <cfRule type="cellIs" dxfId="80" priority="61" operator="equal">
      <formula>"""Open"""</formula>
    </cfRule>
  </conditionalFormatting>
  <conditionalFormatting sqref="E27">
    <cfRule type="cellIs" dxfId="79" priority="60" operator="equal">
      <formula>"""Open"""</formula>
    </cfRule>
  </conditionalFormatting>
  <conditionalFormatting sqref="E27">
    <cfRule type="cellIs" dxfId="78" priority="59" operator="equal">
      <formula>"""Open"""</formula>
    </cfRule>
  </conditionalFormatting>
  <conditionalFormatting sqref="E27">
    <cfRule type="cellIs" dxfId="77" priority="58" operator="equal">
      <formula>"""Open"""</formula>
    </cfRule>
  </conditionalFormatting>
  <conditionalFormatting sqref="E27">
    <cfRule type="cellIs" dxfId="76" priority="56" operator="equal">
      <formula>"Common Ground (P2-52)"</formula>
    </cfRule>
    <cfRule type="cellIs" dxfId="75" priority="57" operator="equal">
      <formula>"""Open"""</formula>
    </cfRule>
  </conditionalFormatting>
  <conditionalFormatting sqref="B27">
    <cfRule type="cellIs" dxfId="74" priority="55" operator="notEqual">
      <formula>"Open"</formula>
    </cfRule>
  </conditionalFormatting>
  <conditionalFormatting sqref="B27">
    <cfRule type="cellIs" dxfId="73" priority="54" operator="equal">
      <formula>"""Open"""</formula>
    </cfRule>
  </conditionalFormatting>
  <conditionalFormatting sqref="B27">
    <cfRule type="cellIs" dxfId="72" priority="53" operator="equal">
      <formula>"""Open"""</formula>
    </cfRule>
  </conditionalFormatting>
  <conditionalFormatting sqref="B27">
    <cfRule type="cellIs" dxfId="71" priority="52" operator="equal">
      <formula>"""Open"""</formula>
    </cfRule>
  </conditionalFormatting>
  <conditionalFormatting sqref="B27">
    <cfRule type="cellIs" dxfId="70" priority="51" operator="equal">
      <formula>"""Open"""</formula>
    </cfRule>
  </conditionalFormatting>
  <conditionalFormatting sqref="B27">
    <cfRule type="cellIs" dxfId="69" priority="50" operator="equal">
      <formula>"""Open"""</formula>
    </cfRule>
  </conditionalFormatting>
  <conditionalFormatting sqref="B27">
    <cfRule type="cellIs" dxfId="68" priority="49" operator="equal">
      <formula>"""Open"""</formula>
    </cfRule>
  </conditionalFormatting>
  <conditionalFormatting sqref="B27">
    <cfRule type="cellIs" dxfId="67" priority="48" operator="equal">
      <formula>"""Open"""</formula>
    </cfRule>
  </conditionalFormatting>
  <conditionalFormatting sqref="B27">
    <cfRule type="cellIs" dxfId="66" priority="47" operator="equal">
      <formula>"""Open"""</formula>
    </cfRule>
  </conditionalFormatting>
  <conditionalFormatting sqref="B27">
    <cfRule type="cellIs" dxfId="65" priority="45" operator="equal">
      <formula>"Common Ground (P2-52)"</formula>
    </cfRule>
    <cfRule type="cellIs" dxfId="64" priority="46" operator="equal">
      <formula>"""Open"""</formula>
    </cfRule>
  </conditionalFormatting>
  <conditionalFormatting sqref="E28">
    <cfRule type="cellIs" dxfId="63" priority="44" operator="notEqual">
      <formula>"Open"</formula>
    </cfRule>
  </conditionalFormatting>
  <conditionalFormatting sqref="E28">
    <cfRule type="cellIs" dxfId="62" priority="43" operator="equal">
      <formula>"""Open"""</formula>
    </cfRule>
  </conditionalFormatting>
  <conditionalFormatting sqref="E28">
    <cfRule type="cellIs" dxfId="61" priority="42" operator="equal">
      <formula>"""Open"""</formula>
    </cfRule>
  </conditionalFormatting>
  <conditionalFormatting sqref="E28">
    <cfRule type="cellIs" dxfId="60" priority="41" operator="equal">
      <formula>"""Open"""</formula>
    </cfRule>
  </conditionalFormatting>
  <conditionalFormatting sqref="E28">
    <cfRule type="cellIs" dxfId="59" priority="40" operator="equal">
      <formula>"""Open"""</formula>
    </cfRule>
  </conditionalFormatting>
  <conditionalFormatting sqref="E28">
    <cfRule type="cellIs" dxfId="58" priority="39" operator="equal">
      <formula>"""Open"""</formula>
    </cfRule>
  </conditionalFormatting>
  <conditionalFormatting sqref="E28">
    <cfRule type="cellIs" dxfId="57" priority="38" operator="equal">
      <formula>"""Open"""</formula>
    </cfRule>
  </conditionalFormatting>
  <conditionalFormatting sqref="E28">
    <cfRule type="cellIs" dxfId="56" priority="37" operator="equal">
      <formula>"""Open"""</formula>
    </cfRule>
  </conditionalFormatting>
  <conditionalFormatting sqref="E28">
    <cfRule type="cellIs" dxfId="55" priority="36" operator="equal">
      <formula>"""Open"""</formula>
    </cfRule>
  </conditionalFormatting>
  <conditionalFormatting sqref="E28">
    <cfRule type="cellIs" dxfId="54" priority="34" operator="equal">
      <formula>"Common Ground (P2-52)"</formula>
    </cfRule>
    <cfRule type="cellIs" dxfId="53" priority="35" operator="equal">
      <formula>"""Open"""</formula>
    </cfRule>
  </conditionalFormatting>
  <conditionalFormatting sqref="D28">
    <cfRule type="cellIs" dxfId="52" priority="33" operator="notEqual">
      <formula>"Open"</formula>
    </cfRule>
  </conditionalFormatting>
  <conditionalFormatting sqref="D28">
    <cfRule type="cellIs" dxfId="51" priority="32" operator="equal">
      <formula>"""Open"""</formula>
    </cfRule>
  </conditionalFormatting>
  <conditionalFormatting sqref="D28">
    <cfRule type="cellIs" dxfId="50" priority="31" operator="equal">
      <formula>"""Open"""</formula>
    </cfRule>
  </conditionalFormatting>
  <conditionalFormatting sqref="D28">
    <cfRule type="cellIs" dxfId="49" priority="30" operator="equal">
      <formula>"""Open"""</formula>
    </cfRule>
  </conditionalFormatting>
  <conditionalFormatting sqref="D28">
    <cfRule type="cellIs" dxfId="48" priority="29" operator="equal">
      <formula>"""Open"""</formula>
    </cfRule>
  </conditionalFormatting>
  <conditionalFormatting sqref="D28">
    <cfRule type="cellIs" dxfId="47" priority="28" operator="equal">
      <formula>"""Open"""</formula>
    </cfRule>
  </conditionalFormatting>
  <conditionalFormatting sqref="D28">
    <cfRule type="cellIs" dxfId="46" priority="27" operator="equal">
      <formula>"""Open"""</formula>
    </cfRule>
  </conditionalFormatting>
  <conditionalFormatting sqref="D28">
    <cfRule type="cellIs" dxfId="45" priority="26" operator="equal">
      <formula>"""Open"""</formula>
    </cfRule>
  </conditionalFormatting>
  <conditionalFormatting sqref="D28">
    <cfRule type="cellIs" dxfId="44" priority="25" operator="equal">
      <formula>"""Open"""</formula>
    </cfRule>
  </conditionalFormatting>
  <conditionalFormatting sqref="D28">
    <cfRule type="cellIs" dxfId="43" priority="23" operator="equal">
      <formula>"Common Ground (P2-52)"</formula>
    </cfRule>
    <cfRule type="cellIs" dxfId="42" priority="24" operator="equal">
      <formula>"""Open"""</formula>
    </cfRule>
  </conditionalFormatting>
  <conditionalFormatting sqref="C28">
    <cfRule type="cellIs" dxfId="41" priority="22" operator="notEqual">
      <formula>"Open"</formula>
    </cfRule>
  </conditionalFormatting>
  <conditionalFormatting sqref="C28">
    <cfRule type="cellIs" dxfId="40" priority="21" operator="equal">
      <formula>"""Open"""</formula>
    </cfRule>
  </conditionalFormatting>
  <conditionalFormatting sqref="C28">
    <cfRule type="cellIs" dxfId="39" priority="20" operator="equal">
      <formula>"""Open"""</formula>
    </cfRule>
  </conditionalFormatting>
  <conditionalFormatting sqref="C28">
    <cfRule type="cellIs" dxfId="38" priority="19" operator="equal">
      <formula>"""Open"""</formula>
    </cfRule>
  </conditionalFormatting>
  <conditionalFormatting sqref="C28">
    <cfRule type="cellIs" dxfId="37" priority="18" operator="equal">
      <formula>"""Open"""</formula>
    </cfRule>
  </conditionalFormatting>
  <conditionalFormatting sqref="C28">
    <cfRule type="cellIs" dxfId="36" priority="17" operator="equal">
      <formula>"""Open"""</formula>
    </cfRule>
  </conditionalFormatting>
  <conditionalFormatting sqref="C28">
    <cfRule type="cellIs" dxfId="35" priority="16" operator="equal">
      <formula>"""Open"""</formula>
    </cfRule>
  </conditionalFormatting>
  <conditionalFormatting sqref="C28">
    <cfRule type="cellIs" dxfId="34" priority="15" operator="equal">
      <formula>"""Open"""</formula>
    </cfRule>
  </conditionalFormatting>
  <conditionalFormatting sqref="C28">
    <cfRule type="cellIs" dxfId="33" priority="14" operator="equal">
      <formula>"""Open"""</formula>
    </cfRule>
  </conditionalFormatting>
  <conditionalFormatting sqref="C28">
    <cfRule type="cellIs" dxfId="32" priority="12" operator="equal">
      <formula>"Common Ground (P2-52)"</formula>
    </cfRule>
    <cfRule type="cellIs" dxfId="31" priority="13" operator="equal">
      <formula>"""Open"""</formula>
    </cfRule>
  </conditionalFormatting>
  <conditionalFormatting sqref="B28">
    <cfRule type="cellIs" dxfId="30" priority="11" operator="notEqual">
      <formula>"Open"</formula>
    </cfRule>
  </conditionalFormatting>
  <conditionalFormatting sqref="B28">
    <cfRule type="cellIs" dxfId="29" priority="10" operator="equal">
      <formula>"""Open"""</formula>
    </cfRule>
  </conditionalFormatting>
  <conditionalFormatting sqref="B28">
    <cfRule type="cellIs" dxfId="28" priority="9" operator="equal">
      <formula>"""Open"""</formula>
    </cfRule>
  </conditionalFormatting>
  <conditionalFormatting sqref="B28">
    <cfRule type="cellIs" dxfId="27" priority="8" operator="equal">
      <formula>"""Open"""</formula>
    </cfRule>
  </conditionalFormatting>
  <conditionalFormatting sqref="B28">
    <cfRule type="cellIs" dxfId="26" priority="7" operator="equal">
      <formula>"""Open"""</formula>
    </cfRule>
  </conditionalFormatting>
  <conditionalFormatting sqref="B28">
    <cfRule type="cellIs" dxfId="25" priority="6" operator="equal">
      <formula>"""Open"""</formula>
    </cfRule>
  </conditionalFormatting>
  <conditionalFormatting sqref="B28">
    <cfRule type="cellIs" dxfId="24" priority="5" operator="equal">
      <formula>"""Open"""</formula>
    </cfRule>
  </conditionalFormatting>
  <conditionalFormatting sqref="B28">
    <cfRule type="cellIs" dxfId="23" priority="4" operator="equal">
      <formula>"""Open"""</formula>
    </cfRule>
  </conditionalFormatting>
  <conditionalFormatting sqref="B28">
    <cfRule type="cellIs" dxfId="22" priority="3" operator="equal">
      <formula>"""Open"""</formula>
    </cfRule>
  </conditionalFormatting>
  <conditionalFormatting sqref="B28">
    <cfRule type="cellIs" dxfId="21" priority="1" operator="equal">
      <formula>"Common Ground (P2-52)"</formula>
    </cfRule>
    <cfRule type="cellIs" dxfId="20" priority="2" operator="equal">
      <formula>"""Open"""</formula>
    </cfRule>
  </conditionalFormatting>
  <pageMargins left="0.7" right="0.7" top="0.75" bottom="0.75" header="0.3" footer="0.3"/>
  <pageSetup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296"/>
  <sheetViews>
    <sheetView topLeftCell="A4" workbookViewId="0">
      <pane ySplit="1" topLeftCell="A5" activePane="bottomLeft" state="frozen"/>
      <selection activeCell="A4" sqref="A4"/>
      <selection pane="bottomLeft" activeCell="B18" sqref="B18"/>
    </sheetView>
  </sheetViews>
  <sheetFormatPr defaultRowHeight="14.4" x14ac:dyDescent="0.3"/>
  <cols>
    <col min="1" max="1" width="14.33203125" style="65" customWidth="1"/>
    <col min="2" max="2" width="15.44140625" style="76" customWidth="1"/>
    <col min="3" max="3" width="8.77734375" style="65" customWidth="1"/>
    <col min="4" max="4" width="33.77734375" style="65" customWidth="1"/>
    <col min="5" max="5" width="68.77734375" style="65" customWidth="1"/>
  </cols>
  <sheetData>
    <row r="1" spans="1:5" x14ac:dyDescent="0.3">
      <c r="A1" s="129" t="s">
        <v>317</v>
      </c>
      <c r="B1" s="129"/>
      <c r="C1" s="129"/>
      <c r="D1" s="129"/>
    </row>
    <row r="2" spans="1:5" x14ac:dyDescent="0.3">
      <c r="A2" s="76"/>
      <c r="C2" s="76"/>
      <c r="D2" s="76"/>
    </row>
    <row r="3" spans="1:5" x14ac:dyDescent="0.3">
      <c r="A3" s="76"/>
      <c r="C3" s="76"/>
      <c r="D3" s="76"/>
    </row>
    <row r="4" spans="1:5" s="7" customFormat="1" ht="35.4" customHeight="1" x14ac:dyDescent="0.3">
      <c r="A4" s="77" t="s">
        <v>129</v>
      </c>
      <c r="B4" s="77" t="s">
        <v>128</v>
      </c>
      <c r="C4" s="77" t="s">
        <v>127</v>
      </c>
      <c r="D4" s="77" t="s">
        <v>145</v>
      </c>
      <c r="E4" s="77" t="s">
        <v>126</v>
      </c>
    </row>
    <row r="5" spans="1:5" s="7" customFormat="1" x14ac:dyDescent="0.3">
      <c r="A5" s="78" t="s">
        <v>11</v>
      </c>
      <c r="B5" s="78" t="s">
        <v>69</v>
      </c>
      <c r="C5" s="78">
        <v>1</v>
      </c>
      <c r="D5" s="84" t="e">
        <f>VLOOKUP(Dropdowns!B2,Dropdowns!A4:E22,5)</f>
        <v>#N/A</v>
      </c>
      <c r="E5" s="107" t="s">
        <v>125</v>
      </c>
    </row>
    <row r="6" spans="1:5" s="7" customFormat="1" x14ac:dyDescent="0.3">
      <c r="A6" s="78" t="s">
        <v>11</v>
      </c>
      <c r="B6" s="78" t="s">
        <v>69</v>
      </c>
      <c r="C6" s="78">
        <v>2</v>
      </c>
      <c r="D6" s="84" t="e">
        <f>VLOOKUP(Dropdowns!B2,Dropdowns!A4:E22,4)</f>
        <v>#N/A</v>
      </c>
      <c r="E6" s="107" t="s">
        <v>124</v>
      </c>
    </row>
    <row r="7" spans="1:5" s="7" customFormat="1" x14ac:dyDescent="0.3">
      <c r="A7" s="78" t="s">
        <v>11</v>
      </c>
      <c r="B7" s="78" t="s">
        <v>69</v>
      </c>
      <c r="C7" s="78">
        <v>3</v>
      </c>
      <c r="D7" s="84" t="e">
        <f>VLOOKUP(Dropdowns!B2,Dropdowns!A4:E22,3)</f>
        <v>#N/A</v>
      </c>
      <c r="E7" s="107" t="s">
        <v>123</v>
      </c>
    </row>
    <row r="8" spans="1:5" s="7" customFormat="1" x14ac:dyDescent="0.3">
      <c r="A8" s="78" t="s">
        <v>11</v>
      </c>
      <c r="B8" s="78" t="s">
        <v>69</v>
      </c>
      <c r="C8" s="78">
        <v>4</v>
      </c>
      <c r="D8" s="84">
        <f>VLOOKUP('Entry Tab'!B12,Dropdowns!A26:E53,4)</f>
        <v>0</v>
      </c>
      <c r="E8" s="107" t="s">
        <v>122</v>
      </c>
    </row>
    <row r="9" spans="1:5" s="7" customFormat="1" x14ac:dyDescent="0.3">
      <c r="A9" s="78" t="s">
        <v>11</v>
      </c>
      <c r="B9" s="78" t="s">
        <v>69</v>
      </c>
      <c r="C9" s="78">
        <v>5</v>
      </c>
      <c r="D9" s="84">
        <f>VLOOKUP('Entry Tab'!B12,Dropdowns!A26:E53,3)</f>
        <v>0</v>
      </c>
      <c r="E9" s="107" t="s">
        <v>121</v>
      </c>
    </row>
    <row r="10" spans="1:5" s="7" customFormat="1" x14ac:dyDescent="0.3">
      <c r="A10" s="78" t="s">
        <v>11</v>
      </c>
      <c r="B10" s="78" t="s">
        <v>69</v>
      </c>
      <c r="C10" s="78">
        <v>6</v>
      </c>
      <c r="D10" s="84">
        <f>VLOOKUP('Entry Tab'!B12,Dropdowns!A26:E53,2)</f>
        <v>0</v>
      </c>
      <c r="E10" s="107" t="s">
        <v>120</v>
      </c>
    </row>
    <row r="11" spans="1:5" s="7" customFormat="1" ht="28.8" x14ac:dyDescent="0.3">
      <c r="A11" s="78" t="s">
        <v>11</v>
      </c>
      <c r="B11" s="78" t="s">
        <v>69</v>
      </c>
      <c r="C11" s="78">
        <v>7</v>
      </c>
      <c r="D11" s="84" t="s">
        <v>144</v>
      </c>
      <c r="E11" s="107" t="s">
        <v>329</v>
      </c>
    </row>
    <row r="12" spans="1:5" s="7" customFormat="1" ht="28.8" x14ac:dyDescent="0.3">
      <c r="A12" s="78" t="s">
        <v>11</v>
      </c>
      <c r="B12" s="78" t="s">
        <v>69</v>
      </c>
      <c r="C12" s="78">
        <v>8</v>
      </c>
      <c r="D12" s="84" t="s">
        <v>144</v>
      </c>
      <c r="E12" s="107" t="s">
        <v>330</v>
      </c>
    </row>
    <row r="13" spans="1:5" s="7" customFormat="1" ht="115.2" x14ac:dyDescent="0.3">
      <c r="A13" s="78" t="s">
        <v>11</v>
      </c>
      <c r="B13" s="78" t="s">
        <v>69</v>
      </c>
      <c r="C13" s="78">
        <v>9</v>
      </c>
      <c r="D13" s="84" t="str">
        <f>VLOOKUP(Dropdowns!$D$145+Dropdowns!$E$145+4,Dropdowns!$A$149:$E$156,3)</f>
        <v>ADS-B Common (P1-12)</v>
      </c>
      <c r="E13" s="107" t="s">
        <v>636</v>
      </c>
    </row>
    <row r="14" spans="1:5" s="7" customFormat="1" ht="43.2" x14ac:dyDescent="0.3">
      <c r="A14" s="78" t="s">
        <v>11</v>
      </c>
      <c r="B14" s="78" t="s">
        <v>69</v>
      </c>
      <c r="C14" s="78">
        <v>10</v>
      </c>
      <c r="D14" s="84" t="str">
        <f>VLOOKUP(Dropdowns!$D$145+Dropdowns!$E$145+4,Dropdowns!$A$149:$E$156,2)</f>
        <v>ADS-B Common (P1-12)</v>
      </c>
      <c r="E14" s="107" t="s">
        <v>635</v>
      </c>
    </row>
    <row r="15" spans="1:5" s="7" customFormat="1" x14ac:dyDescent="0.3">
      <c r="A15" s="79" t="s">
        <v>308</v>
      </c>
      <c r="B15" s="79" t="s">
        <v>69</v>
      </c>
      <c r="C15" s="79">
        <v>11</v>
      </c>
      <c r="D15" s="85" t="s">
        <v>130</v>
      </c>
      <c r="E15" s="108" t="s">
        <v>10</v>
      </c>
    </row>
    <row r="16" spans="1:5" s="7" customFormat="1" x14ac:dyDescent="0.3">
      <c r="A16" s="78" t="s">
        <v>11</v>
      </c>
      <c r="B16" s="78" t="s">
        <v>69</v>
      </c>
      <c r="C16" s="78">
        <v>12</v>
      </c>
      <c r="D16" s="84" t="s">
        <v>147</v>
      </c>
      <c r="E16" s="107" t="s">
        <v>119</v>
      </c>
    </row>
    <row r="17" spans="1:10" s="7" customFormat="1" x14ac:dyDescent="0.3">
      <c r="A17" s="80" t="s">
        <v>56</v>
      </c>
      <c r="B17" s="80" t="s">
        <v>69</v>
      </c>
      <c r="C17" s="80">
        <v>13</v>
      </c>
      <c r="D17" s="86" t="str">
        <f>IF('Entry Tab'!B15="Installed","Common Ground (P2-52)","Open")</f>
        <v>Open</v>
      </c>
      <c r="E17" s="108" t="s">
        <v>118</v>
      </c>
    </row>
    <row r="18" spans="1:10" s="7" customFormat="1" x14ac:dyDescent="0.3">
      <c r="A18" s="80" t="s">
        <v>117</v>
      </c>
      <c r="B18" s="80" t="s">
        <v>69</v>
      </c>
      <c r="C18" s="80">
        <v>14</v>
      </c>
      <c r="D18" s="86" t="str">
        <f>IF('Entry Tab'!B19="Yes","Common Ground (P2-52)","Open")</f>
        <v>Open</v>
      </c>
      <c r="E18" s="108" t="s">
        <v>116</v>
      </c>
    </row>
    <row r="19" spans="1:10" s="7" customFormat="1" ht="43.2" x14ac:dyDescent="0.3">
      <c r="A19" s="80" t="s">
        <v>308</v>
      </c>
      <c r="B19" s="80" t="s">
        <v>69</v>
      </c>
      <c r="C19" s="80">
        <v>15</v>
      </c>
      <c r="D19" s="87" t="s">
        <v>311</v>
      </c>
      <c r="E19" s="109" t="s">
        <v>148</v>
      </c>
    </row>
    <row r="20" spans="1:10" s="7" customFormat="1" ht="43.2" x14ac:dyDescent="0.3">
      <c r="A20" s="80" t="s">
        <v>308</v>
      </c>
      <c r="B20" s="80" t="s">
        <v>69</v>
      </c>
      <c r="C20" s="80">
        <v>16</v>
      </c>
      <c r="D20" s="87" t="s">
        <v>311</v>
      </c>
      <c r="E20" s="108" t="s">
        <v>115</v>
      </c>
    </row>
    <row r="21" spans="1:10" s="7" customFormat="1" ht="28.8" x14ac:dyDescent="0.3">
      <c r="A21" s="80" t="s">
        <v>104</v>
      </c>
      <c r="B21" s="80" t="s">
        <v>69</v>
      </c>
      <c r="C21" s="80">
        <v>17</v>
      </c>
      <c r="D21" s="88" t="str">
        <f>IF('Entry Tab'!B10="Integrated Pro Line IV or 21","Common Ground (P2-52)","Open")</f>
        <v>Open</v>
      </c>
      <c r="E21" s="108" t="s">
        <v>114</v>
      </c>
    </row>
    <row r="22" spans="1:10" s="7" customFormat="1" x14ac:dyDescent="0.3">
      <c r="A22" s="78" t="s">
        <v>324</v>
      </c>
      <c r="B22" s="78" t="s">
        <v>69</v>
      </c>
      <c r="C22" s="78">
        <v>18</v>
      </c>
      <c r="D22" s="89" t="str">
        <f>IF('Entry Tab'!B10="Integrated Pro Line IV or 21",(IF('Entry Tab'!B32="High Speed","Common Ground (P2-52)","Open")),(IF('Entry Tab'!B29="High Speed","Common Ground (P2-52)","Open")))</f>
        <v>Open</v>
      </c>
      <c r="E22" s="110" t="s">
        <v>113</v>
      </c>
      <c r="J22" s="8"/>
    </row>
    <row r="23" spans="1:10" s="7" customFormat="1" ht="43.2" x14ac:dyDescent="0.3">
      <c r="A23" s="80" t="s">
        <v>112</v>
      </c>
      <c r="B23" s="80" t="s">
        <v>69</v>
      </c>
      <c r="C23" s="80">
        <v>19</v>
      </c>
      <c r="D23" s="87" t="s">
        <v>311</v>
      </c>
      <c r="E23" s="108" t="s">
        <v>111</v>
      </c>
    </row>
    <row r="24" spans="1:10" s="7" customFormat="1" x14ac:dyDescent="0.3">
      <c r="A24" s="78" t="s">
        <v>11</v>
      </c>
      <c r="B24" s="78" t="s">
        <v>69</v>
      </c>
      <c r="C24" s="78">
        <v>20</v>
      </c>
      <c r="D24" s="84">
        <f>VLOOKUP(Dropdowns!B55,Dropdowns!B57:F65,5)</f>
        <v>0</v>
      </c>
      <c r="E24" s="107" t="s">
        <v>110</v>
      </c>
    </row>
    <row r="25" spans="1:10" s="7" customFormat="1" x14ac:dyDescent="0.3">
      <c r="A25" s="78" t="s">
        <v>11</v>
      </c>
      <c r="B25" s="78" t="s">
        <v>69</v>
      </c>
      <c r="C25" s="78">
        <v>21</v>
      </c>
      <c r="D25" s="84">
        <f>VLOOKUP(Dropdowns!B55,Dropdowns!B57:F65,4)</f>
        <v>0</v>
      </c>
      <c r="E25" s="107" t="s">
        <v>109</v>
      </c>
    </row>
    <row r="26" spans="1:10" s="7" customFormat="1" x14ac:dyDescent="0.3">
      <c r="A26" s="78" t="s">
        <v>11</v>
      </c>
      <c r="B26" s="78" t="s">
        <v>69</v>
      </c>
      <c r="C26" s="78">
        <v>22</v>
      </c>
      <c r="D26" s="84">
        <f>VLOOKUP(Dropdowns!B55,Dropdowns!B57:F65,3)</f>
        <v>0</v>
      </c>
      <c r="E26" s="107" t="s">
        <v>108</v>
      </c>
      <c r="J26" s="9"/>
    </row>
    <row r="27" spans="1:10" s="7" customFormat="1" ht="28.8" x14ac:dyDescent="0.3">
      <c r="A27" s="78" t="s">
        <v>11</v>
      </c>
      <c r="B27" s="78" t="s">
        <v>69</v>
      </c>
      <c r="C27" s="78">
        <v>23</v>
      </c>
      <c r="D27" s="89" t="str">
        <f>IF(INT((COUNTIF(D5:D14,"ADS-B Common (P1-12)")+COUNTIF(D24:D26,"ADS-B Common (P1-12)"))/2)*2=(COUNTIF(D5:D14,"ADS-B Common (P1-12)")+COUNTIF(D24:D26,"ADS-B Common (P1-12)")),"Open","ADS-B Common (P1-12)")</f>
        <v>Open</v>
      </c>
      <c r="E27" s="107" t="s">
        <v>279</v>
      </c>
      <c r="J27" s="9"/>
    </row>
    <row r="28" spans="1:10" s="7" customFormat="1" x14ac:dyDescent="0.3">
      <c r="A28" s="80" t="s">
        <v>42</v>
      </c>
      <c r="B28" s="80" t="s">
        <v>69</v>
      </c>
      <c r="C28" s="80">
        <v>24</v>
      </c>
      <c r="D28" s="90" t="str">
        <f>IF('Entry Tab'!B10="Integrated Pro Line IV or 21",(IF('Entry Tab'!B30="High Speed","Common Ground (P2-52)","Open")),(IF('Entry Tab'!B28="High Speed","Common Ground (P2-52)","Open")))</f>
        <v>Open</v>
      </c>
      <c r="E28" s="108" t="s">
        <v>107</v>
      </c>
      <c r="G28" s="15"/>
    </row>
    <row r="29" spans="1:10" s="7" customFormat="1" ht="43.2" x14ac:dyDescent="0.3">
      <c r="A29" s="80" t="s">
        <v>102</v>
      </c>
      <c r="B29" s="80" t="s">
        <v>69</v>
      </c>
      <c r="C29" s="80">
        <v>25</v>
      </c>
      <c r="D29" s="87" t="s">
        <v>311</v>
      </c>
      <c r="E29" s="108" t="s">
        <v>106</v>
      </c>
    </row>
    <row r="30" spans="1:10" s="7" customFormat="1" x14ac:dyDescent="0.3">
      <c r="A30" s="78" t="s">
        <v>325</v>
      </c>
      <c r="B30" s="78" t="s">
        <v>69</v>
      </c>
      <c r="C30" s="78">
        <v>26</v>
      </c>
      <c r="D30" s="89" t="str">
        <f>IF('Entry Tab'!B10="Integrated Pro Line IV or 21",(IF('Entry Tab'!B34="High Speed","Common Ground (P2-52)","Open")),(IF('Entry Tab'!B25="High Speed","Common Ground (P2-52)","Open")))</f>
        <v>Open</v>
      </c>
      <c r="E30" s="110" t="s">
        <v>281</v>
      </c>
    </row>
    <row r="31" spans="1:10" s="7" customFormat="1" x14ac:dyDescent="0.3">
      <c r="A31" s="80" t="s">
        <v>105</v>
      </c>
      <c r="B31" s="80" t="s">
        <v>69</v>
      </c>
      <c r="C31" s="80">
        <v>27</v>
      </c>
      <c r="D31" s="86" t="s">
        <v>105</v>
      </c>
      <c r="E31" s="108" t="s">
        <v>206</v>
      </c>
    </row>
    <row r="32" spans="1:10" s="7" customFormat="1" x14ac:dyDescent="0.3">
      <c r="A32" s="80" t="s">
        <v>104</v>
      </c>
      <c r="B32" s="80" t="s">
        <v>69</v>
      </c>
      <c r="C32" s="80">
        <v>28</v>
      </c>
      <c r="D32" s="86" t="str">
        <f>IF('Entry Tab'!B10="Federated and don't Use Label 335 From FMS","Common Ground (P2-52)","Open")</f>
        <v>Open</v>
      </c>
      <c r="E32" s="108" t="s">
        <v>103</v>
      </c>
    </row>
    <row r="33" spans="1:5" s="7" customFormat="1" ht="43.2" x14ac:dyDescent="0.3">
      <c r="A33" s="80" t="s">
        <v>102</v>
      </c>
      <c r="B33" s="80" t="s">
        <v>69</v>
      </c>
      <c r="C33" s="80">
        <v>29</v>
      </c>
      <c r="D33" s="87" t="s">
        <v>311</v>
      </c>
      <c r="E33" s="108" t="s">
        <v>101</v>
      </c>
    </row>
    <row r="34" spans="1:5" s="7" customFormat="1" x14ac:dyDescent="0.3">
      <c r="A34" s="78" t="s">
        <v>11</v>
      </c>
      <c r="B34" s="78" t="s">
        <v>69</v>
      </c>
      <c r="C34" s="78">
        <v>30</v>
      </c>
      <c r="D34" s="84" t="s">
        <v>147</v>
      </c>
      <c r="E34" s="107" t="s">
        <v>163</v>
      </c>
    </row>
    <row r="35" spans="1:5" s="7" customFormat="1" ht="43.2" x14ac:dyDescent="0.3">
      <c r="A35" s="80"/>
      <c r="B35" s="80" t="s">
        <v>69</v>
      </c>
      <c r="C35" s="80">
        <v>31</v>
      </c>
      <c r="D35" s="87" t="s">
        <v>311</v>
      </c>
      <c r="E35" s="108" t="s">
        <v>100</v>
      </c>
    </row>
    <row r="36" spans="1:5" s="7" customFormat="1" x14ac:dyDescent="0.3">
      <c r="A36" s="81" t="s">
        <v>75</v>
      </c>
      <c r="B36" s="81" t="s">
        <v>69</v>
      </c>
      <c r="C36" s="81">
        <v>32</v>
      </c>
      <c r="D36" s="91" t="s">
        <v>167</v>
      </c>
      <c r="E36" s="111" t="s">
        <v>99</v>
      </c>
    </row>
    <row r="37" spans="1:5" s="7" customFormat="1" x14ac:dyDescent="0.3">
      <c r="A37" s="82" t="s">
        <v>75</v>
      </c>
      <c r="B37" s="82" t="s">
        <v>69</v>
      </c>
      <c r="C37" s="82">
        <v>33</v>
      </c>
      <c r="D37" s="92" t="str">
        <f>IF(MID(HEX2BIN(MID('Entry Tab'!$B$7,1,1),4),1,1)="1","Mode S Common (P1-32)","Open")</f>
        <v>Open</v>
      </c>
      <c r="E37" s="112" t="s">
        <v>98</v>
      </c>
    </row>
    <row r="38" spans="1:5" s="7" customFormat="1" x14ac:dyDescent="0.3">
      <c r="A38" s="82" t="s">
        <v>75</v>
      </c>
      <c r="B38" s="82" t="s">
        <v>69</v>
      </c>
      <c r="C38" s="82">
        <v>34</v>
      </c>
      <c r="D38" s="92" t="str">
        <f>IF(MID(HEX2BIN(MID('Entry Tab'!$B$7,1,1),4),2,1)="1","Mode S Common (P1-32)","Open")</f>
        <v>Open</v>
      </c>
      <c r="E38" s="112" t="s">
        <v>97</v>
      </c>
    </row>
    <row r="39" spans="1:5" s="7" customFormat="1" x14ac:dyDescent="0.3">
      <c r="A39" s="82" t="s">
        <v>75</v>
      </c>
      <c r="B39" s="82" t="s">
        <v>69</v>
      </c>
      <c r="C39" s="82">
        <v>35</v>
      </c>
      <c r="D39" s="92" t="str">
        <f>IF(MID(HEX2BIN(MID('Entry Tab'!$B$7,1,1),4),3,1)="1","Mode S Common (P1-32)","Open")</f>
        <v>Open</v>
      </c>
      <c r="E39" s="112" t="s">
        <v>96</v>
      </c>
    </row>
    <row r="40" spans="1:5" s="7" customFormat="1" x14ac:dyDescent="0.3">
      <c r="A40" s="82" t="s">
        <v>75</v>
      </c>
      <c r="B40" s="82" t="s">
        <v>69</v>
      </c>
      <c r="C40" s="82">
        <v>36</v>
      </c>
      <c r="D40" s="92" t="str">
        <f>IF(MID(HEX2BIN(MID('Entry Tab'!$B$7,1,1),4),4,1)="1","Mode S Common (P1-32)","Open")</f>
        <v>Open</v>
      </c>
      <c r="E40" s="112" t="s">
        <v>95</v>
      </c>
    </row>
    <row r="41" spans="1:5" s="7" customFormat="1" x14ac:dyDescent="0.3">
      <c r="A41" s="81" t="s">
        <v>75</v>
      </c>
      <c r="B41" s="81" t="s">
        <v>69</v>
      </c>
      <c r="C41" s="81">
        <v>37</v>
      </c>
      <c r="D41" s="93" t="str">
        <f>IF(MID(HEX2BIN(MID('Entry Tab'!$B$7,2,1),4),1,1)="1","Mode S Common (P1-32)","Open")</f>
        <v>Open</v>
      </c>
      <c r="E41" s="111" t="s">
        <v>94</v>
      </c>
    </row>
    <row r="42" spans="1:5" s="7" customFormat="1" x14ac:dyDescent="0.3">
      <c r="A42" s="81" t="s">
        <v>75</v>
      </c>
      <c r="B42" s="81" t="s">
        <v>69</v>
      </c>
      <c r="C42" s="81">
        <v>38</v>
      </c>
      <c r="D42" s="93" t="str">
        <f>IF(MID(HEX2BIN(MID('Entry Tab'!$B$7,2,1),4),2,1)="1","Mode S Common (P1-32)","Open")</f>
        <v>Open</v>
      </c>
      <c r="E42" s="111" t="s">
        <v>93</v>
      </c>
    </row>
    <row r="43" spans="1:5" s="7" customFormat="1" x14ac:dyDescent="0.3">
      <c r="A43" s="81" t="s">
        <v>75</v>
      </c>
      <c r="B43" s="81" t="s">
        <v>69</v>
      </c>
      <c r="C43" s="81">
        <v>39</v>
      </c>
      <c r="D43" s="93" t="str">
        <f>IF(MID(HEX2BIN(MID('Entry Tab'!$B$7,2,1),4),3,1)="1","Mode S Common (P1-32)","Open")</f>
        <v>Open</v>
      </c>
      <c r="E43" s="111" t="s">
        <v>92</v>
      </c>
    </row>
    <row r="44" spans="1:5" s="7" customFormat="1" x14ac:dyDescent="0.3">
      <c r="A44" s="81" t="s">
        <v>75</v>
      </c>
      <c r="B44" s="81" t="s">
        <v>69</v>
      </c>
      <c r="C44" s="81">
        <v>40</v>
      </c>
      <c r="D44" s="93" t="str">
        <f>IF(MID(HEX2BIN(MID('Entry Tab'!$B$7,2,1),4),4,1)="1","Mode S Common (P1-32)","Open")</f>
        <v>Open</v>
      </c>
      <c r="E44" s="111" t="s">
        <v>91</v>
      </c>
    </row>
    <row r="45" spans="1:5" s="7" customFormat="1" x14ac:dyDescent="0.3">
      <c r="A45" s="82" t="s">
        <v>75</v>
      </c>
      <c r="B45" s="82" t="s">
        <v>69</v>
      </c>
      <c r="C45" s="82">
        <v>41</v>
      </c>
      <c r="D45" s="92" t="str">
        <f>IF(MID(HEX2BIN(MID('Entry Tab'!$B$7,3,1),4),1,1)="1","Mode S Common (P1-32)","Open")</f>
        <v>Open</v>
      </c>
      <c r="E45" s="112" t="s">
        <v>90</v>
      </c>
    </row>
    <row r="46" spans="1:5" s="7" customFormat="1" x14ac:dyDescent="0.3">
      <c r="A46" s="82" t="s">
        <v>75</v>
      </c>
      <c r="B46" s="82" t="s">
        <v>69</v>
      </c>
      <c r="C46" s="82">
        <v>42</v>
      </c>
      <c r="D46" s="92" t="str">
        <f>IF(MID(HEX2BIN(MID('Entry Tab'!$B$7,3,1),4),2,1)="1","Mode S Common (P1-32)","Open")</f>
        <v>Open</v>
      </c>
      <c r="E46" s="112" t="s">
        <v>89</v>
      </c>
    </row>
    <row r="47" spans="1:5" s="7" customFormat="1" x14ac:dyDescent="0.3">
      <c r="A47" s="82" t="s">
        <v>75</v>
      </c>
      <c r="B47" s="82" t="s">
        <v>69</v>
      </c>
      <c r="C47" s="82">
        <v>43</v>
      </c>
      <c r="D47" s="92" t="str">
        <f>IF(MID(HEX2BIN(MID('Entry Tab'!$B$7,3,1),4),3,1)="1","Mode S Common (P1-32)","Open")</f>
        <v>Open</v>
      </c>
      <c r="E47" s="112" t="s">
        <v>88</v>
      </c>
    </row>
    <row r="48" spans="1:5" s="7" customFormat="1" x14ac:dyDescent="0.3">
      <c r="A48" s="82" t="s">
        <v>75</v>
      </c>
      <c r="B48" s="82" t="s">
        <v>69</v>
      </c>
      <c r="C48" s="82">
        <v>44</v>
      </c>
      <c r="D48" s="92" t="str">
        <f>IF(MID(HEX2BIN(MID('Entry Tab'!$B$7,3,1),4),4,1)="1","Mode S Common (P1-32)","Open")</f>
        <v>Open</v>
      </c>
      <c r="E48" s="112" t="s">
        <v>87</v>
      </c>
    </row>
    <row r="49" spans="1:5" s="7" customFormat="1" x14ac:dyDescent="0.3">
      <c r="A49" s="81" t="s">
        <v>75</v>
      </c>
      <c r="B49" s="81" t="s">
        <v>69</v>
      </c>
      <c r="C49" s="81">
        <v>45</v>
      </c>
      <c r="D49" s="93" t="str">
        <f>IF(MID(HEX2BIN(MID('Entry Tab'!$B$7,4,1),4),1,1)="1","Mode S Common (P1-32)","Open")</f>
        <v>Open</v>
      </c>
      <c r="E49" s="111" t="s">
        <v>86</v>
      </c>
    </row>
    <row r="50" spans="1:5" s="7" customFormat="1" x14ac:dyDescent="0.3">
      <c r="A50" s="81" t="s">
        <v>75</v>
      </c>
      <c r="B50" s="81" t="s">
        <v>69</v>
      </c>
      <c r="C50" s="81">
        <v>46</v>
      </c>
      <c r="D50" s="93" t="str">
        <f>IF(MID(HEX2BIN(MID('Entry Tab'!$B$7,4,1),4),2,1)="1","Mode S Common (P1-32)","Open")</f>
        <v>Open</v>
      </c>
      <c r="E50" s="111" t="s">
        <v>85</v>
      </c>
    </row>
    <row r="51" spans="1:5" s="7" customFormat="1" x14ac:dyDescent="0.3">
      <c r="A51" s="81" t="s">
        <v>75</v>
      </c>
      <c r="B51" s="81" t="s">
        <v>69</v>
      </c>
      <c r="C51" s="81">
        <v>47</v>
      </c>
      <c r="D51" s="93" t="str">
        <f>IF(MID(HEX2BIN(MID('Entry Tab'!$B$7,4,1),4),3,1)="1","Mode S Common (P1-32)","Open")</f>
        <v>Open</v>
      </c>
      <c r="E51" s="111" t="s">
        <v>84</v>
      </c>
    </row>
    <row r="52" spans="1:5" s="7" customFormat="1" x14ac:dyDescent="0.3">
      <c r="A52" s="81" t="s">
        <v>75</v>
      </c>
      <c r="B52" s="81" t="s">
        <v>69</v>
      </c>
      <c r="C52" s="81">
        <v>48</v>
      </c>
      <c r="D52" s="93" t="str">
        <f>IF(MID(HEX2BIN(MID('Entry Tab'!$B$7,4,1),4),4,1)="1","Mode S Common (P1-32)","Open")</f>
        <v>Open</v>
      </c>
      <c r="E52" s="111" t="s">
        <v>83</v>
      </c>
    </row>
    <row r="53" spans="1:5" s="7" customFormat="1" x14ac:dyDescent="0.3">
      <c r="A53" s="82" t="s">
        <v>75</v>
      </c>
      <c r="B53" s="82" t="s">
        <v>69</v>
      </c>
      <c r="C53" s="82">
        <v>49</v>
      </c>
      <c r="D53" s="92" t="str">
        <f>IF(MID(HEX2BIN(MID('Entry Tab'!$B$7,5,1),4),1,1)="1","Mode S Common (P1-32)","Open")</f>
        <v>Open</v>
      </c>
      <c r="E53" s="112" t="s">
        <v>82</v>
      </c>
    </row>
    <row r="54" spans="1:5" s="7" customFormat="1" x14ac:dyDescent="0.3">
      <c r="A54" s="82" t="s">
        <v>75</v>
      </c>
      <c r="B54" s="82" t="s">
        <v>69</v>
      </c>
      <c r="C54" s="82">
        <v>50</v>
      </c>
      <c r="D54" s="92" t="str">
        <f>IF(MID(HEX2BIN(MID('Entry Tab'!$B$7,5,1),4),2,1)="1","Mode S Common (P1-32)","Open")</f>
        <v>Open</v>
      </c>
      <c r="E54" s="112" t="s">
        <v>81</v>
      </c>
    </row>
    <row r="55" spans="1:5" s="7" customFormat="1" x14ac:dyDescent="0.3">
      <c r="A55" s="82" t="s">
        <v>75</v>
      </c>
      <c r="B55" s="82" t="s">
        <v>69</v>
      </c>
      <c r="C55" s="82">
        <v>51</v>
      </c>
      <c r="D55" s="92" t="str">
        <f>IF(MID(HEX2BIN(MID('Entry Tab'!$B$7,5,1),4),3,1)="1","Mode S Common (P1-32)","Open")</f>
        <v>Open</v>
      </c>
      <c r="E55" s="112" t="s">
        <v>80</v>
      </c>
    </row>
    <row r="56" spans="1:5" s="7" customFormat="1" x14ac:dyDescent="0.3">
      <c r="A56" s="82" t="s">
        <v>75</v>
      </c>
      <c r="B56" s="82" t="s">
        <v>69</v>
      </c>
      <c r="C56" s="82">
        <v>52</v>
      </c>
      <c r="D56" s="92" t="str">
        <f>IF(MID(HEX2BIN(MID('Entry Tab'!$B$7,5,1),4),4,1)="1","Mode S Common (P1-32)","Open")</f>
        <v>Open</v>
      </c>
      <c r="E56" s="112" t="s">
        <v>79</v>
      </c>
    </row>
    <row r="57" spans="1:5" s="7" customFormat="1" x14ac:dyDescent="0.3">
      <c r="A57" s="81" t="s">
        <v>75</v>
      </c>
      <c r="B57" s="81" t="s">
        <v>69</v>
      </c>
      <c r="C57" s="81">
        <v>53</v>
      </c>
      <c r="D57" s="93" t="str">
        <f>IF(MID(HEX2BIN(MID('Entry Tab'!$B$7,6,1),4),1,1)="1","Mode S Common (P1-32)","Open")</f>
        <v>Open</v>
      </c>
      <c r="E57" s="111" t="s">
        <v>78</v>
      </c>
    </row>
    <row r="58" spans="1:5" s="7" customFormat="1" x14ac:dyDescent="0.3">
      <c r="A58" s="81" t="s">
        <v>75</v>
      </c>
      <c r="B58" s="81" t="s">
        <v>69</v>
      </c>
      <c r="C58" s="81">
        <v>54</v>
      </c>
      <c r="D58" s="93" t="str">
        <f>IF(MID(HEX2BIN(MID('Entry Tab'!$B$7,6,1),4),2,1)="1","Mode S Common (P1-32)","Open")</f>
        <v>Open</v>
      </c>
      <c r="E58" s="111" t="s">
        <v>77</v>
      </c>
    </row>
    <row r="59" spans="1:5" s="7" customFormat="1" x14ac:dyDescent="0.3">
      <c r="A59" s="81" t="s">
        <v>75</v>
      </c>
      <c r="B59" s="81" t="s">
        <v>69</v>
      </c>
      <c r="C59" s="81">
        <v>55</v>
      </c>
      <c r="D59" s="93" t="str">
        <f>IF(MID(HEX2BIN(MID('Entry Tab'!$B$7,6,1),4),3,1)="1","Mode S Common (P1-32)","Open")</f>
        <v>Open</v>
      </c>
      <c r="E59" s="111" t="s">
        <v>76</v>
      </c>
    </row>
    <row r="60" spans="1:5" s="7" customFormat="1" x14ac:dyDescent="0.3">
      <c r="A60" s="81" t="s">
        <v>75</v>
      </c>
      <c r="B60" s="81" t="s">
        <v>69</v>
      </c>
      <c r="C60" s="81">
        <v>56</v>
      </c>
      <c r="D60" s="93" t="str">
        <f>IF(MID(HEX2BIN(MID('Entry Tab'!$B$7,6,1),4),4,1)="1","Mode S Common (P1-32)","Open")</f>
        <v>Open</v>
      </c>
      <c r="E60" s="111" t="s">
        <v>74</v>
      </c>
    </row>
    <row r="61" spans="1:5" s="7" customFormat="1" x14ac:dyDescent="0.3">
      <c r="A61" s="80" t="s">
        <v>28</v>
      </c>
      <c r="B61" s="80" t="s">
        <v>69</v>
      </c>
      <c r="C61" s="80">
        <v>57</v>
      </c>
      <c r="D61" s="88" t="str">
        <f>IF('Entry Tab'!B10="Integrated Pro Line IV or 21",(IF('Entry Tab'!B31="High Speed","Common Ground (P2-52)","Open")),(IF('Entry Tab'!B27="High Speed","Common Ground (P2-52)","Open")))</f>
        <v>Open</v>
      </c>
      <c r="E61" s="83" t="s">
        <v>73</v>
      </c>
    </row>
    <row r="62" spans="1:5" s="7" customFormat="1" x14ac:dyDescent="0.3">
      <c r="A62" s="80" t="s">
        <v>70</v>
      </c>
      <c r="B62" s="80" t="s">
        <v>69</v>
      </c>
      <c r="C62" s="80">
        <v>58</v>
      </c>
      <c r="D62" s="88" t="s">
        <v>72</v>
      </c>
      <c r="E62" s="113" t="s">
        <v>72</v>
      </c>
    </row>
    <row r="63" spans="1:5" s="7" customFormat="1" x14ac:dyDescent="0.3">
      <c r="A63" s="80" t="s">
        <v>11</v>
      </c>
      <c r="B63" s="80" t="s">
        <v>69</v>
      </c>
      <c r="C63" s="80">
        <v>59</v>
      </c>
      <c r="D63" s="86" t="s">
        <v>130</v>
      </c>
      <c r="E63" s="83" t="s">
        <v>71</v>
      </c>
    </row>
    <row r="64" spans="1:5" s="7" customFormat="1" x14ac:dyDescent="0.3">
      <c r="A64" s="80" t="s">
        <v>70</v>
      </c>
      <c r="B64" s="80" t="s">
        <v>69</v>
      </c>
      <c r="C64" s="80">
        <v>60</v>
      </c>
      <c r="D64" s="86" t="s">
        <v>68</v>
      </c>
      <c r="E64" s="83" t="s">
        <v>68</v>
      </c>
    </row>
    <row r="65" spans="1:5" s="7" customFormat="1" ht="43.2" x14ac:dyDescent="0.3">
      <c r="A65" s="80" t="s">
        <v>2</v>
      </c>
      <c r="B65" s="80" t="s">
        <v>1</v>
      </c>
      <c r="C65" s="80">
        <v>1</v>
      </c>
      <c r="D65" s="87" t="s">
        <v>311</v>
      </c>
      <c r="E65" s="83" t="s">
        <v>67</v>
      </c>
    </row>
    <row r="66" spans="1:5" s="7" customFormat="1" ht="43.2" x14ac:dyDescent="0.3">
      <c r="A66" s="80" t="s">
        <v>2</v>
      </c>
      <c r="B66" s="80" t="s">
        <v>1</v>
      </c>
      <c r="C66" s="80">
        <v>2</v>
      </c>
      <c r="D66" s="87" t="s">
        <v>311</v>
      </c>
      <c r="E66" s="83" t="s">
        <v>66</v>
      </c>
    </row>
    <row r="67" spans="1:5" s="7" customFormat="1" ht="43.2" x14ac:dyDescent="0.3">
      <c r="A67" s="80" t="s">
        <v>2</v>
      </c>
      <c r="B67" s="80" t="s">
        <v>1</v>
      </c>
      <c r="C67" s="80">
        <v>3</v>
      </c>
      <c r="D67" s="87" t="s">
        <v>311</v>
      </c>
      <c r="E67" s="83" t="s">
        <v>65</v>
      </c>
    </row>
    <row r="68" spans="1:5" s="7" customFormat="1" ht="43.2" x14ac:dyDescent="0.3">
      <c r="A68" s="80" t="s">
        <v>2</v>
      </c>
      <c r="B68" s="80" t="s">
        <v>1</v>
      </c>
      <c r="C68" s="80">
        <v>4</v>
      </c>
      <c r="D68" s="87" t="s">
        <v>311</v>
      </c>
      <c r="E68" s="83" t="s">
        <v>64</v>
      </c>
    </row>
    <row r="69" spans="1:5" s="7" customFormat="1" x14ac:dyDescent="0.3">
      <c r="A69" s="80" t="s">
        <v>2</v>
      </c>
      <c r="B69" s="80" t="s">
        <v>1</v>
      </c>
      <c r="C69" s="80">
        <v>5</v>
      </c>
      <c r="D69" s="94" t="s">
        <v>130</v>
      </c>
      <c r="E69" s="83" t="s">
        <v>63</v>
      </c>
    </row>
    <row r="70" spans="1:5" s="7" customFormat="1" x14ac:dyDescent="0.3">
      <c r="A70" s="80" t="s">
        <v>2</v>
      </c>
      <c r="B70" s="80" t="s">
        <v>1</v>
      </c>
      <c r="C70" s="80">
        <v>6</v>
      </c>
      <c r="D70" s="94" t="s">
        <v>130</v>
      </c>
      <c r="E70" s="83" t="s">
        <v>62</v>
      </c>
    </row>
    <row r="71" spans="1:5" s="7" customFormat="1" x14ac:dyDescent="0.3">
      <c r="A71" s="80" t="s">
        <v>2</v>
      </c>
      <c r="B71" s="80" t="s">
        <v>1</v>
      </c>
      <c r="C71" s="80">
        <v>7</v>
      </c>
      <c r="D71" s="94" t="s">
        <v>130</v>
      </c>
      <c r="E71" s="83" t="s">
        <v>61</v>
      </c>
    </row>
    <row r="72" spans="1:5" s="7" customFormat="1" x14ac:dyDescent="0.3">
      <c r="A72" s="80" t="s">
        <v>2</v>
      </c>
      <c r="B72" s="80" t="s">
        <v>1</v>
      </c>
      <c r="C72" s="80">
        <v>8</v>
      </c>
      <c r="D72" s="94" t="s">
        <v>130</v>
      </c>
      <c r="E72" s="83" t="s">
        <v>60</v>
      </c>
    </row>
    <row r="73" spans="1:5" s="7" customFormat="1" x14ac:dyDescent="0.3">
      <c r="A73" s="80" t="s">
        <v>56</v>
      </c>
      <c r="B73" s="80" t="s">
        <v>1</v>
      </c>
      <c r="C73" s="80">
        <v>9</v>
      </c>
      <c r="D73" s="88" t="str">
        <f>IF('Entry Tab'!B15="Installed","From TCAS","Open")</f>
        <v>Open</v>
      </c>
      <c r="E73" s="83" t="s">
        <v>59</v>
      </c>
    </row>
    <row r="74" spans="1:5" s="7" customFormat="1" x14ac:dyDescent="0.3">
      <c r="A74" s="80" t="s">
        <v>56</v>
      </c>
      <c r="B74" s="80" t="s">
        <v>1</v>
      </c>
      <c r="C74" s="80">
        <v>10</v>
      </c>
      <c r="D74" s="88" t="str">
        <f>IF('Entry Tab'!B15="Installed","From TCAS","Open")</f>
        <v>Open</v>
      </c>
      <c r="E74" s="83" t="s">
        <v>58</v>
      </c>
    </row>
    <row r="75" spans="1:5" s="7" customFormat="1" x14ac:dyDescent="0.3">
      <c r="A75" s="80" t="s">
        <v>56</v>
      </c>
      <c r="B75" s="80" t="s">
        <v>1</v>
      </c>
      <c r="C75" s="80">
        <v>11</v>
      </c>
      <c r="D75" s="88" t="str">
        <f>IF('Entry Tab'!B15="Installed","To TCAS","Open")</f>
        <v>Open</v>
      </c>
      <c r="E75" s="83" t="s">
        <v>57</v>
      </c>
    </row>
    <row r="76" spans="1:5" s="7" customFormat="1" x14ac:dyDescent="0.3">
      <c r="A76" s="80" t="s">
        <v>56</v>
      </c>
      <c r="B76" s="80" t="s">
        <v>1</v>
      </c>
      <c r="C76" s="80">
        <v>12</v>
      </c>
      <c r="D76" s="88" t="str">
        <f>IF('Entry Tab'!B15="Installed","To TCAS","Open")</f>
        <v>Open</v>
      </c>
      <c r="E76" s="83" t="s">
        <v>55</v>
      </c>
    </row>
    <row r="77" spans="1:5" s="7" customFormat="1" x14ac:dyDescent="0.3">
      <c r="A77" s="80" t="s">
        <v>3</v>
      </c>
      <c r="B77" s="80" t="s">
        <v>1</v>
      </c>
      <c r="C77" s="80">
        <v>13</v>
      </c>
      <c r="D77" s="88" t="str">
        <f>IF('Entry Tab'!B18="A429 Controller","From On-Side Controller","Open")</f>
        <v>Open</v>
      </c>
      <c r="E77" s="83" t="s">
        <v>54</v>
      </c>
    </row>
    <row r="78" spans="1:5" s="7" customFormat="1" x14ac:dyDescent="0.3">
      <c r="A78" s="80" t="s">
        <v>3</v>
      </c>
      <c r="B78" s="80" t="s">
        <v>1</v>
      </c>
      <c r="C78" s="80">
        <v>14</v>
      </c>
      <c r="D78" s="88" t="str">
        <f>IF('Entry Tab'!B18="A429 Controller","From On-Side Controller","Open")</f>
        <v>Open</v>
      </c>
      <c r="E78" s="83" t="s">
        <v>53</v>
      </c>
    </row>
    <row r="79" spans="1:5" s="7" customFormat="1" ht="28.8" x14ac:dyDescent="0.3">
      <c r="A79" s="80" t="s">
        <v>3</v>
      </c>
      <c r="B79" s="80" t="s">
        <v>1</v>
      </c>
      <c r="C79" s="80">
        <v>15</v>
      </c>
      <c r="D79" s="95" t="str">
        <f>IF('Entry Tab'!B18="A429 Controller","Echo Back To Controller and Optionally DDA or AFID","Open")</f>
        <v>Open</v>
      </c>
      <c r="E79" s="83" t="s">
        <v>275</v>
      </c>
    </row>
    <row r="80" spans="1:5" s="7" customFormat="1" ht="28.8" x14ac:dyDescent="0.3">
      <c r="A80" s="80" t="s">
        <v>3</v>
      </c>
      <c r="B80" s="80" t="s">
        <v>1</v>
      </c>
      <c r="C80" s="80">
        <v>16</v>
      </c>
      <c r="D80" s="95" t="str">
        <f>IF('Entry Tab'!B18="A429 Controller","Echo Back To Controller and Optionally DDA or AFID","Open")</f>
        <v>Open</v>
      </c>
      <c r="E80" s="83" t="s">
        <v>276</v>
      </c>
    </row>
    <row r="81" spans="1:5" s="7" customFormat="1" x14ac:dyDescent="0.3">
      <c r="A81" s="80" t="s">
        <v>3</v>
      </c>
      <c r="B81" s="80" t="s">
        <v>1</v>
      </c>
      <c r="C81" s="80">
        <v>17</v>
      </c>
      <c r="D81" s="88" t="str">
        <f>IF('Entry Tab'!B18="A429 Controller","From Cross-Side Controller","Open")</f>
        <v>Open</v>
      </c>
      <c r="E81" s="83" t="s">
        <v>52</v>
      </c>
    </row>
    <row r="82" spans="1:5" s="7" customFormat="1" x14ac:dyDescent="0.3">
      <c r="A82" s="80" t="s">
        <v>3</v>
      </c>
      <c r="B82" s="80" t="s">
        <v>1</v>
      </c>
      <c r="C82" s="80">
        <v>18</v>
      </c>
      <c r="D82" s="88" t="str">
        <f>IF('Entry Tab'!B18="A429 Controller","From Cross-Side Controller","Open")</f>
        <v>Open</v>
      </c>
      <c r="E82" s="83" t="s">
        <v>51</v>
      </c>
    </row>
    <row r="83" spans="1:5" s="7" customFormat="1" x14ac:dyDescent="0.3">
      <c r="A83" s="80" t="s">
        <v>3</v>
      </c>
      <c r="B83" s="80" t="s">
        <v>1</v>
      </c>
      <c r="C83" s="80">
        <v>19</v>
      </c>
      <c r="D83" s="86" t="s">
        <v>274</v>
      </c>
      <c r="E83" s="83" t="s">
        <v>50</v>
      </c>
    </row>
    <row r="84" spans="1:5" s="7" customFormat="1" x14ac:dyDescent="0.3">
      <c r="A84" s="80" t="s">
        <v>3</v>
      </c>
      <c r="B84" s="80" t="s">
        <v>1</v>
      </c>
      <c r="C84" s="80">
        <v>20</v>
      </c>
      <c r="D84" s="86" t="s">
        <v>274</v>
      </c>
      <c r="E84" s="83" t="s">
        <v>49</v>
      </c>
    </row>
    <row r="85" spans="1:5" s="7" customFormat="1" ht="43.2" x14ac:dyDescent="0.3">
      <c r="A85" s="80" t="s">
        <v>3</v>
      </c>
      <c r="B85" s="80" t="s">
        <v>1</v>
      </c>
      <c r="C85" s="80">
        <v>21</v>
      </c>
      <c r="D85" s="87" t="s">
        <v>311</v>
      </c>
      <c r="E85" s="83" t="s">
        <v>277</v>
      </c>
    </row>
    <row r="86" spans="1:5" s="7" customFormat="1" ht="43.2" x14ac:dyDescent="0.3">
      <c r="A86" s="80" t="s">
        <v>3</v>
      </c>
      <c r="B86" s="80" t="s">
        <v>1</v>
      </c>
      <c r="C86" s="80">
        <v>22</v>
      </c>
      <c r="D86" s="87" t="s">
        <v>311</v>
      </c>
      <c r="E86" s="83" t="s">
        <v>278</v>
      </c>
    </row>
    <row r="87" spans="1:5" s="7" customFormat="1" x14ac:dyDescent="0.3">
      <c r="A87" s="80" t="s">
        <v>33</v>
      </c>
      <c r="B87" s="80" t="s">
        <v>1</v>
      </c>
      <c r="C87" s="80">
        <v>23</v>
      </c>
      <c r="D87" s="86" t="str">
        <f>IF('Entry Tab'!B18="CSDB Controller","From CSDB Controller","Open")</f>
        <v>Open</v>
      </c>
      <c r="E87" s="83" t="s">
        <v>48</v>
      </c>
    </row>
    <row r="88" spans="1:5" s="7" customFormat="1" x14ac:dyDescent="0.3">
      <c r="A88" s="80" t="s">
        <v>33</v>
      </c>
      <c r="B88" s="80" t="s">
        <v>1</v>
      </c>
      <c r="C88" s="80">
        <v>24</v>
      </c>
      <c r="D88" s="86" t="str">
        <f>IF('Entry Tab'!B18="CSDB Controller","From CSDB Controller","Open")</f>
        <v>Open</v>
      </c>
      <c r="E88" s="83" t="s">
        <v>47</v>
      </c>
    </row>
    <row r="89" spans="1:5" s="7" customFormat="1" ht="43.2" x14ac:dyDescent="0.3">
      <c r="A89" s="80" t="s">
        <v>45</v>
      </c>
      <c r="B89" s="80" t="s">
        <v>1</v>
      </c>
      <c r="C89" s="80">
        <v>25</v>
      </c>
      <c r="D89" s="87" t="s">
        <v>311</v>
      </c>
      <c r="E89" s="83" t="s">
        <v>46</v>
      </c>
    </row>
    <row r="90" spans="1:5" s="7" customFormat="1" ht="43.2" x14ac:dyDescent="0.3">
      <c r="A90" s="80" t="s">
        <v>45</v>
      </c>
      <c r="B90" s="80" t="s">
        <v>1</v>
      </c>
      <c r="C90" s="80">
        <v>26</v>
      </c>
      <c r="D90" s="87" t="s">
        <v>311</v>
      </c>
      <c r="E90" s="83" t="s">
        <v>44</v>
      </c>
    </row>
    <row r="91" spans="1:5" s="7" customFormat="1" x14ac:dyDescent="0.3">
      <c r="A91" s="80" t="s">
        <v>42</v>
      </c>
      <c r="B91" s="80" t="s">
        <v>1</v>
      </c>
      <c r="C91" s="80">
        <v>27</v>
      </c>
      <c r="D91" s="88" t="str">
        <f>IF('Entry Tab'!B10="Integrated Pro Line IV or 21","From On-Side IOC","From FMS or IRS")</f>
        <v>From FMS or IRS</v>
      </c>
      <c r="E91" s="83" t="s">
        <v>43</v>
      </c>
    </row>
    <row r="92" spans="1:5" s="7" customFormat="1" x14ac:dyDescent="0.3">
      <c r="A92" s="80" t="s">
        <v>42</v>
      </c>
      <c r="B92" s="80" t="s">
        <v>1</v>
      </c>
      <c r="C92" s="80">
        <v>28</v>
      </c>
      <c r="D92" s="88" t="str">
        <f>IF('Entry Tab'!B10="Integrated Pro Line IV or 21","From On-Side IOC","From FMS or IRS")</f>
        <v>From FMS or IRS</v>
      </c>
      <c r="E92" s="83" t="s">
        <v>41</v>
      </c>
    </row>
    <row r="93" spans="1:5" s="7" customFormat="1" ht="28.8" x14ac:dyDescent="0.3">
      <c r="A93" s="80" t="s">
        <v>326</v>
      </c>
      <c r="B93" s="80" t="s">
        <v>1</v>
      </c>
      <c r="C93" s="80">
        <v>29</v>
      </c>
      <c r="D93" s="88" t="str">
        <f>IF('Entry Tab'!B10="Integrated Pro Line IV or 21","From GPS 2","From Altitude Sourrce B")</f>
        <v>From Altitude Sourrce B</v>
      </c>
      <c r="E93" s="83" t="s">
        <v>40</v>
      </c>
    </row>
    <row r="94" spans="1:5" s="7" customFormat="1" ht="28.8" x14ac:dyDescent="0.3">
      <c r="A94" s="80" t="s">
        <v>326</v>
      </c>
      <c r="B94" s="80" t="s">
        <v>1</v>
      </c>
      <c r="C94" s="80">
        <v>30</v>
      </c>
      <c r="D94" s="88" t="str">
        <f>IF('Entry Tab'!B10="Integrated Pro Line IV or 21","From GPS 2","From Altitude Source B")</f>
        <v>From Altitude Source B</v>
      </c>
      <c r="E94" s="83" t="s">
        <v>39</v>
      </c>
    </row>
    <row r="95" spans="1:5" s="7" customFormat="1" x14ac:dyDescent="0.3">
      <c r="A95" s="80" t="s">
        <v>33</v>
      </c>
      <c r="B95" s="80" t="s">
        <v>1</v>
      </c>
      <c r="C95" s="80">
        <v>31</v>
      </c>
      <c r="D95" s="86" t="str">
        <f>IF('Entry Tab'!B18="CSDB Controller","To CSDB Controller","Open")</f>
        <v>Open</v>
      </c>
      <c r="E95" s="83" t="s">
        <v>38</v>
      </c>
    </row>
    <row r="96" spans="1:5" s="7" customFormat="1" x14ac:dyDescent="0.3">
      <c r="A96" s="80" t="s">
        <v>33</v>
      </c>
      <c r="B96" s="80" t="s">
        <v>1</v>
      </c>
      <c r="C96" s="80">
        <v>32</v>
      </c>
      <c r="D96" s="86" t="str">
        <f>IF('Entry Tab'!B18="CSDB Controller","To CSDB Controller","Open")</f>
        <v>Open</v>
      </c>
      <c r="E96" s="83" t="s">
        <v>37</v>
      </c>
    </row>
    <row r="97" spans="1:6" s="7" customFormat="1" x14ac:dyDescent="0.3">
      <c r="A97" s="80" t="s">
        <v>33</v>
      </c>
      <c r="B97" s="80" t="s">
        <v>1</v>
      </c>
      <c r="C97" s="80">
        <v>33</v>
      </c>
      <c r="D97" s="88" t="str">
        <f>IF('Entry Tab'!B10="Integrated Pro Line IV or 21","Open",(IF('Entry Tab'!B20="CSDB ADC","From CSDB ADC","Open")))</f>
        <v>Open</v>
      </c>
      <c r="E97" s="83" t="s">
        <v>36</v>
      </c>
    </row>
    <row r="98" spans="1:6" s="7" customFormat="1" x14ac:dyDescent="0.3">
      <c r="A98" s="80" t="s">
        <v>33</v>
      </c>
      <c r="B98" s="80" t="s">
        <v>1</v>
      </c>
      <c r="C98" s="80">
        <v>34</v>
      </c>
      <c r="D98" s="88" t="str">
        <f>IF('Entry Tab'!B10="Integrated Pro Line IV or 21","Open",(IF('Entry Tab'!B20="CSDB ADC","From CSDB ADC","Open")))</f>
        <v>Open</v>
      </c>
      <c r="E98" s="83" t="s">
        <v>35</v>
      </c>
    </row>
    <row r="99" spans="1:6" s="7" customFormat="1" x14ac:dyDescent="0.3">
      <c r="A99" s="80" t="s">
        <v>33</v>
      </c>
      <c r="B99" s="80" t="s">
        <v>1</v>
      </c>
      <c r="C99" s="80">
        <v>35</v>
      </c>
      <c r="D99" s="88" t="str">
        <f>IF('Entry Tab'!B10="Integrated Pro Line IV or 21","Open",(IF('Entry Tab'!B20="CSDB ADC","From CSDB ADC","Open")))</f>
        <v>Open</v>
      </c>
      <c r="E99" s="83" t="s">
        <v>34</v>
      </c>
    </row>
    <row r="100" spans="1:6" s="7" customFormat="1" x14ac:dyDescent="0.3">
      <c r="A100" s="80" t="s">
        <v>33</v>
      </c>
      <c r="B100" s="80" t="s">
        <v>1</v>
      </c>
      <c r="C100" s="80">
        <v>36</v>
      </c>
      <c r="D100" s="88" t="str">
        <f>IF('Entry Tab'!B10="Integrated Pro Line IV or 21","Open",(IF('Entry Tab'!B20="CSDB ADC","From CSDB ADC","Open")))</f>
        <v>Open</v>
      </c>
      <c r="E100" s="83" t="s">
        <v>32</v>
      </c>
    </row>
    <row r="101" spans="1:6" s="7" customFormat="1" ht="43.2" x14ac:dyDescent="0.3">
      <c r="A101" s="80" t="s">
        <v>17</v>
      </c>
      <c r="B101" s="80" t="s">
        <v>1</v>
      </c>
      <c r="C101" s="80">
        <v>37</v>
      </c>
      <c r="D101" s="87" t="s">
        <v>311</v>
      </c>
      <c r="E101" s="83" t="s">
        <v>31</v>
      </c>
      <c r="F101" s="47"/>
    </row>
    <row r="102" spans="1:6" s="7" customFormat="1" ht="43.2" x14ac:dyDescent="0.3">
      <c r="A102" s="80" t="s">
        <v>17</v>
      </c>
      <c r="B102" s="80" t="s">
        <v>1</v>
      </c>
      <c r="C102" s="80">
        <v>38</v>
      </c>
      <c r="D102" s="87" t="s">
        <v>311</v>
      </c>
      <c r="E102" s="83" t="s">
        <v>30</v>
      </c>
      <c r="F102" s="48"/>
    </row>
    <row r="103" spans="1:6" s="7" customFormat="1" x14ac:dyDescent="0.3">
      <c r="A103" s="80" t="s">
        <v>28</v>
      </c>
      <c r="B103" s="80" t="s">
        <v>1</v>
      </c>
      <c r="C103" s="80">
        <v>39</v>
      </c>
      <c r="D103" s="88" t="str">
        <f>IF('Entry Tab'!B10="Integrated Pro Line IV or 21","From Cross-Side IOC or AFID","From AIS/ADS Source or AFID")</f>
        <v>From AIS/ADS Source or AFID</v>
      </c>
      <c r="E103" s="83" t="s">
        <v>29</v>
      </c>
      <c r="F103" s="49"/>
    </row>
    <row r="104" spans="1:6" s="7" customFormat="1" x14ac:dyDescent="0.3">
      <c r="A104" s="80" t="s">
        <v>28</v>
      </c>
      <c r="B104" s="80" t="s">
        <v>1</v>
      </c>
      <c r="C104" s="80">
        <v>40</v>
      </c>
      <c r="D104" s="88" t="str">
        <f>IF('Entry Tab'!B10="Integrated Pro Line IV or 21","From Cross-Side IOC or AFID","From AIS/ADS Source or AFID")</f>
        <v>From AIS/ADS Source or AFID</v>
      </c>
      <c r="E104" s="83" t="s">
        <v>27</v>
      </c>
      <c r="F104" s="47"/>
    </row>
    <row r="105" spans="1:6" s="7" customFormat="1" ht="28.8" x14ac:dyDescent="0.3">
      <c r="A105" s="80" t="s">
        <v>327</v>
      </c>
      <c r="B105" s="80" t="s">
        <v>1</v>
      </c>
      <c r="C105" s="80">
        <v>41</v>
      </c>
      <c r="D105" s="88" t="str">
        <f>IF('Entry Tab'!B10="Integrated Pro Line IV or 21",("Common Ground (P2-52)"),(IF('Entry Tab'!B20="CSDB ADC","Open","Common Ground (P2-52)")))</f>
        <v>Common Ground (P2-52)</v>
      </c>
      <c r="E105" s="83" t="s">
        <v>331</v>
      </c>
      <c r="F105" s="49"/>
    </row>
    <row r="106" spans="1:6" s="7" customFormat="1" x14ac:dyDescent="0.3">
      <c r="A106" s="80" t="s">
        <v>26</v>
      </c>
      <c r="B106" s="80" t="s">
        <v>1</v>
      </c>
      <c r="C106" s="80">
        <v>42</v>
      </c>
      <c r="D106" s="88" t="str">
        <f>IF('Entry Tab'!B10="Integrated Pro Line IV or 21",(IF('Entry Tab'!B35="Dual","Common Ground (P2-52)","Open")),(IF('Entry Tab'!B20="CSDB ADC","Common Ground (P2-52)",(IF('Entry Tab'!B20="A429 ADC","Common Ground (P2-52)","Open")))))</f>
        <v>Open</v>
      </c>
      <c r="E106" s="83" t="s">
        <v>25</v>
      </c>
      <c r="F106" s="49"/>
    </row>
    <row r="107" spans="1:6" s="7" customFormat="1" x14ac:dyDescent="0.3">
      <c r="A107" s="80" t="s">
        <v>22</v>
      </c>
      <c r="B107" s="80" t="s">
        <v>1</v>
      </c>
      <c r="C107" s="80">
        <v>43</v>
      </c>
      <c r="D107" s="86">
        <f>VLOOKUP(Dropdowns!B67,Dropdowns!A68:E76,5)</f>
        <v>0</v>
      </c>
      <c r="E107" s="83" t="s">
        <v>24</v>
      </c>
      <c r="F107" s="49"/>
    </row>
    <row r="108" spans="1:6" s="7" customFormat="1" x14ac:dyDescent="0.3">
      <c r="A108" s="80" t="s">
        <v>22</v>
      </c>
      <c r="B108" s="80" t="s">
        <v>1</v>
      </c>
      <c r="C108" s="80">
        <v>44</v>
      </c>
      <c r="D108" s="86">
        <f>VLOOKUP(Dropdowns!B67,Dropdowns!A68:E76,4)</f>
        <v>0</v>
      </c>
      <c r="E108" s="83" t="s">
        <v>23</v>
      </c>
      <c r="F108" s="49"/>
    </row>
    <row r="109" spans="1:6" s="7" customFormat="1" x14ac:dyDescent="0.3">
      <c r="A109" s="80" t="s">
        <v>22</v>
      </c>
      <c r="B109" s="80" t="s">
        <v>1</v>
      </c>
      <c r="C109" s="80">
        <v>45</v>
      </c>
      <c r="D109" s="86">
        <f>VLOOKUP(Dropdowns!B67,Dropdowns!A68:E76,3)</f>
        <v>0</v>
      </c>
      <c r="E109" s="83" t="s">
        <v>21</v>
      </c>
      <c r="F109" s="47"/>
    </row>
    <row r="110" spans="1:6" s="7" customFormat="1" x14ac:dyDescent="0.3">
      <c r="A110" s="80" t="s">
        <v>20</v>
      </c>
      <c r="B110" s="80" t="s">
        <v>1</v>
      </c>
      <c r="C110" s="80">
        <v>46</v>
      </c>
      <c r="D110" s="88" t="str">
        <f>IF('Entry Tab'!B17="RIght","Common Ground (P2-52)","Open")</f>
        <v>Open</v>
      </c>
      <c r="E110" s="83" t="s">
        <v>312</v>
      </c>
      <c r="F110" s="49"/>
    </row>
    <row r="111" spans="1:6" s="7" customFormat="1" x14ac:dyDescent="0.3">
      <c r="A111" s="80" t="s">
        <v>20</v>
      </c>
      <c r="B111" s="80" t="s">
        <v>1</v>
      </c>
      <c r="C111" s="80">
        <v>47</v>
      </c>
      <c r="D111" s="88" t="str">
        <f>IF('Entry Tab'!B17="Left","Common Ground (P2-52)","Open")</f>
        <v>Open</v>
      </c>
      <c r="E111" s="83" t="s">
        <v>313</v>
      </c>
      <c r="F111" s="50"/>
    </row>
    <row r="112" spans="1:6" s="7" customFormat="1" ht="43.2" x14ac:dyDescent="0.3">
      <c r="A112" s="80" t="s">
        <v>19</v>
      </c>
      <c r="B112" s="80" t="s">
        <v>1</v>
      </c>
      <c r="C112" s="80">
        <v>48</v>
      </c>
      <c r="D112" s="87" t="s">
        <v>311</v>
      </c>
      <c r="E112" s="83" t="s">
        <v>309</v>
      </c>
      <c r="F112" s="49"/>
    </row>
    <row r="113" spans="1:6" s="7" customFormat="1" x14ac:dyDescent="0.3">
      <c r="A113" s="80" t="s">
        <v>324</v>
      </c>
      <c r="B113" s="80" t="s">
        <v>1</v>
      </c>
      <c r="C113" s="80">
        <v>49</v>
      </c>
      <c r="D113" s="86" t="s">
        <v>164</v>
      </c>
      <c r="E113" s="83" t="s">
        <v>18</v>
      </c>
      <c r="F113" s="47"/>
    </row>
    <row r="114" spans="1:6" s="7" customFormat="1" x14ac:dyDescent="0.3">
      <c r="A114" s="80" t="s">
        <v>324</v>
      </c>
      <c r="B114" s="80" t="s">
        <v>1</v>
      </c>
      <c r="C114" s="80">
        <v>50</v>
      </c>
      <c r="D114" s="86" t="s">
        <v>164</v>
      </c>
      <c r="E114" s="83" t="s">
        <v>16</v>
      </c>
      <c r="F114" s="49"/>
    </row>
    <row r="115" spans="1:6" s="7" customFormat="1" x14ac:dyDescent="0.3">
      <c r="A115" s="80" t="s">
        <v>15</v>
      </c>
      <c r="B115" s="80" t="s">
        <v>1</v>
      </c>
      <c r="C115" s="80">
        <v>51</v>
      </c>
      <c r="D115" s="86" t="str">
        <f>IF('Entry Tab'!B16="Single","Common Ground (P2-52)","Open")</f>
        <v>Open</v>
      </c>
      <c r="E115" s="83" t="s">
        <v>285</v>
      </c>
      <c r="F115" s="49"/>
    </row>
    <row r="116" spans="1:6" s="7" customFormat="1" x14ac:dyDescent="0.3">
      <c r="A116" s="80" t="s">
        <v>13</v>
      </c>
      <c r="B116" s="80" t="s">
        <v>1</v>
      </c>
      <c r="C116" s="80">
        <v>52</v>
      </c>
      <c r="D116" s="86" t="s">
        <v>147</v>
      </c>
      <c r="E116" s="83" t="s">
        <v>12</v>
      </c>
      <c r="F116" s="49"/>
    </row>
    <row r="117" spans="1:6" s="7" customFormat="1" ht="28.8" x14ac:dyDescent="0.3">
      <c r="A117" s="80" t="s">
        <v>11</v>
      </c>
      <c r="B117" s="80" t="s">
        <v>1</v>
      </c>
      <c r="C117" s="80">
        <v>53</v>
      </c>
      <c r="D117" s="86" t="s">
        <v>130</v>
      </c>
      <c r="E117" s="59" t="s">
        <v>328</v>
      </c>
      <c r="F117" s="49"/>
    </row>
    <row r="118" spans="1:6" s="7" customFormat="1" x14ac:dyDescent="0.3">
      <c r="A118" s="80"/>
      <c r="B118" s="80" t="s">
        <v>1</v>
      </c>
      <c r="C118" s="80">
        <v>54</v>
      </c>
      <c r="D118" s="86" t="s">
        <v>130</v>
      </c>
      <c r="E118" s="83" t="s">
        <v>10</v>
      </c>
      <c r="F118" s="50"/>
    </row>
    <row r="119" spans="1:6" s="7" customFormat="1" ht="43.2" x14ac:dyDescent="0.3">
      <c r="A119" s="80" t="s">
        <v>9</v>
      </c>
      <c r="B119" s="80" t="s">
        <v>1</v>
      </c>
      <c r="C119" s="80">
        <v>55</v>
      </c>
      <c r="D119" s="87" t="s">
        <v>311</v>
      </c>
      <c r="E119" s="83" t="s">
        <v>8</v>
      </c>
      <c r="F119" s="49"/>
    </row>
    <row r="120" spans="1:6" s="7" customFormat="1" x14ac:dyDescent="0.3">
      <c r="A120" s="80" t="s">
        <v>7</v>
      </c>
      <c r="B120" s="80" t="s">
        <v>1</v>
      </c>
      <c r="C120" s="80">
        <v>56</v>
      </c>
      <c r="D120" s="86" t="str">
        <f>IF('Entry Tab'!B18="CSDB Controller","Common Ground (P2-52)","Open")</f>
        <v>Open</v>
      </c>
      <c r="E120" s="83" t="s">
        <v>6</v>
      </c>
      <c r="F120" s="50"/>
    </row>
    <row r="121" spans="1:6" s="7" customFormat="1" ht="43.2" x14ac:dyDescent="0.3">
      <c r="A121" s="80" t="s">
        <v>3</v>
      </c>
      <c r="B121" s="80" t="s">
        <v>1</v>
      </c>
      <c r="C121" s="80">
        <v>57</v>
      </c>
      <c r="D121" s="87" t="s">
        <v>311</v>
      </c>
      <c r="E121" s="83" t="s">
        <v>5</v>
      </c>
      <c r="F121" s="49"/>
    </row>
    <row r="122" spans="1:6" s="7" customFormat="1" ht="43.2" x14ac:dyDescent="0.3">
      <c r="A122" s="80" t="s">
        <v>3</v>
      </c>
      <c r="B122" s="80" t="s">
        <v>1</v>
      </c>
      <c r="C122" s="80">
        <v>58</v>
      </c>
      <c r="D122" s="87" t="s">
        <v>311</v>
      </c>
      <c r="E122" s="83" t="s">
        <v>4</v>
      </c>
      <c r="F122" s="49"/>
    </row>
    <row r="123" spans="1:6" s="7" customFormat="1" x14ac:dyDescent="0.3">
      <c r="A123" s="80" t="s">
        <v>3</v>
      </c>
      <c r="B123" s="80" t="s">
        <v>1</v>
      </c>
      <c r="C123" s="80">
        <v>59</v>
      </c>
      <c r="D123" s="86" t="s">
        <v>130</v>
      </c>
      <c r="E123" s="83" t="s">
        <v>338</v>
      </c>
      <c r="F123" s="49"/>
    </row>
    <row r="124" spans="1:6" s="7" customFormat="1" x14ac:dyDescent="0.3">
      <c r="A124" s="80" t="s">
        <v>2</v>
      </c>
      <c r="B124" s="80" t="s">
        <v>1</v>
      </c>
      <c r="C124" s="80">
        <v>60</v>
      </c>
      <c r="D124" s="86" t="str">
        <f>IF('Entry Tab'!B36="Installed","Common Ground (P2-52)","Open")</f>
        <v>Open</v>
      </c>
      <c r="E124" s="83" t="s">
        <v>0</v>
      </c>
      <c r="F124" s="49"/>
    </row>
    <row r="125" spans="1:6" x14ac:dyDescent="0.3">
      <c r="F125" s="50"/>
    </row>
    <row r="126" spans="1:6" x14ac:dyDescent="0.3">
      <c r="F126" s="49"/>
    </row>
    <row r="127" spans="1:6" x14ac:dyDescent="0.3">
      <c r="F127" s="50"/>
    </row>
    <row r="128" spans="1:6" x14ac:dyDescent="0.3">
      <c r="F128" s="49"/>
    </row>
    <row r="129" spans="6:6" x14ac:dyDescent="0.3">
      <c r="F129" s="47"/>
    </row>
    <row r="130" spans="6:6" x14ac:dyDescent="0.3">
      <c r="F130" s="49"/>
    </row>
    <row r="131" spans="6:6" x14ac:dyDescent="0.3">
      <c r="F131" s="50"/>
    </row>
    <row r="132" spans="6:6" x14ac:dyDescent="0.3">
      <c r="F132" s="49"/>
    </row>
    <row r="133" spans="6:6" x14ac:dyDescent="0.3">
      <c r="F133" s="47"/>
    </row>
    <row r="134" spans="6:6" x14ac:dyDescent="0.3">
      <c r="F134" s="49"/>
    </row>
    <row r="135" spans="6:6" x14ac:dyDescent="0.3">
      <c r="F135" s="49"/>
    </row>
    <row r="136" spans="6:6" x14ac:dyDescent="0.3">
      <c r="F136" s="49"/>
    </row>
    <row r="137" spans="6:6" x14ac:dyDescent="0.3">
      <c r="F137" s="49"/>
    </row>
    <row r="138" spans="6:6" x14ac:dyDescent="0.3">
      <c r="F138" s="49"/>
    </row>
    <row r="139" spans="6:6" x14ac:dyDescent="0.3">
      <c r="F139" s="49"/>
    </row>
    <row r="140" spans="6:6" x14ac:dyDescent="0.3">
      <c r="F140" s="49"/>
    </row>
    <row r="141" spans="6:6" x14ac:dyDescent="0.3">
      <c r="F141" s="47"/>
    </row>
    <row r="142" spans="6:6" x14ac:dyDescent="0.3">
      <c r="F142" s="49"/>
    </row>
    <row r="143" spans="6:6" x14ac:dyDescent="0.3">
      <c r="F143" s="50"/>
    </row>
    <row r="144" spans="6:6" x14ac:dyDescent="0.3">
      <c r="F144" s="49"/>
    </row>
    <row r="145" spans="6:6" x14ac:dyDescent="0.3">
      <c r="F145" s="50"/>
    </row>
    <row r="146" spans="6:6" x14ac:dyDescent="0.3">
      <c r="F146" s="49"/>
    </row>
    <row r="147" spans="6:6" x14ac:dyDescent="0.3">
      <c r="F147" s="47"/>
    </row>
    <row r="148" spans="6:6" x14ac:dyDescent="0.3">
      <c r="F148" s="49"/>
    </row>
    <row r="149" spans="6:6" x14ac:dyDescent="0.3">
      <c r="F149" s="50"/>
    </row>
    <row r="150" spans="6:6" x14ac:dyDescent="0.3">
      <c r="F150" s="49"/>
    </row>
    <row r="151" spans="6:6" x14ac:dyDescent="0.3">
      <c r="F151" s="47"/>
    </row>
    <row r="152" spans="6:6" x14ac:dyDescent="0.3">
      <c r="F152" s="49"/>
    </row>
    <row r="153" spans="6:6" x14ac:dyDescent="0.3">
      <c r="F153" s="49"/>
    </row>
    <row r="154" spans="6:6" x14ac:dyDescent="0.3">
      <c r="F154" s="49"/>
    </row>
    <row r="156" spans="6:6" x14ac:dyDescent="0.3">
      <c r="F156" s="47"/>
    </row>
    <row r="158" spans="6:6" x14ac:dyDescent="0.3">
      <c r="F158" s="51"/>
    </row>
    <row r="160" spans="6:6" x14ac:dyDescent="0.3">
      <c r="F160" s="47"/>
    </row>
    <row r="161" spans="6:6" x14ac:dyDescent="0.3">
      <c r="F161" s="48"/>
    </row>
    <row r="162" spans="6:6" x14ac:dyDescent="0.3">
      <c r="F162" s="49"/>
    </row>
    <row r="163" spans="6:6" x14ac:dyDescent="0.3">
      <c r="F163" s="47"/>
    </row>
    <row r="164" spans="6:6" x14ac:dyDescent="0.3">
      <c r="F164" s="49"/>
    </row>
    <row r="165" spans="6:6" x14ac:dyDescent="0.3">
      <c r="F165" s="49"/>
    </row>
    <row r="166" spans="6:6" x14ac:dyDescent="0.3">
      <c r="F166" s="49"/>
    </row>
    <row r="167" spans="6:6" x14ac:dyDescent="0.3">
      <c r="F167" s="49"/>
    </row>
    <row r="168" spans="6:6" x14ac:dyDescent="0.3">
      <c r="F168" s="50"/>
    </row>
    <row r="169" spans="6:6" x14ac:dyDescent="0.3">
      <c r="F169" s="49"/>
    </row>
    <row r="170" spans="6:6" x14ac:dyDescent="0.3">
      <c r="F170" s="50"/>
    </row>
    <row r="171" spans="6:6" x14ac:dyDescent="0.3">
      <c r="F171" s="49"/>
    </row>
    <row r="172" spans="6:6" x14ac:dyDescent="0.3">
      <c r="F172" s="47"/>
    </row>
    <row r="173" spans="6:6" x14ac:dyDescent="0.3">
      <c r="F173" s="49"/>
    </row>
    <row r="174" spans="6:6" x14ac:dyDescent="0.3">
      <c r="F174" s="52"/>
    </row>
    <row r="175" spans="6:6" x14ac:dyDescent="0.3">
      <c r="F175" s="49"/>
    </row>
    <row r="176" spans="6:6" x14ac:dyDescent="0.3">
      <c r="F176" s="47"/>
    </row>
    <row r="177" spans="6:6" x14ac:dyDescent="0.3">
      <c r="F177" s="49"/>
    </row>
    <row r="178" spans="6:6" x14ac:dyDescent="0.3">
      <c r="F178" s="50"/>
    </row>
    <row r="179" spans="6:6" x14ac:dyDescent="0.3">
      <c r="F179" s="49"/>
    </row>
    <row r="180" spans="6:6" x14ac:dyDescent="0.3">
      <c r="F180" s="47"/>
    </row>
    <row r="181" spans="6:6" x14ac:dyDescent="0.3">
      <c r="F181" s="49"/>
    </row>
    <row r="182" spans="6:6" x14ac:dyDescent="0.3">
      <c r="F182" s="50"/>
    </row>
    <row r="183" spans="6:6" x14ac:dyDescent="0.3">
      <c r="F183" s="49"/>
    </row>
    <row r="184" spans="6:6" x14ac:dyDescent="0.3">
      <c r="F184" s="49"/>
    </row>
    <row r="185" spans="6:6" x14ac:dyDescent="0.3">
      <c r="F185" s="49"/>
    </row>
    <row r="186" spans="6:6" x14ac:dyDescent="0.3">
      <c r="F186" s="49"/>
    </row>
    <row r="187" spans="6:6" x14ac:dyDescent="0.3">
      <c r="F187" s="47"/>
    </row>
    <row r="188" spans="6:6" x14ac:dyDescent="0.3">
      <c r="F188" s="49"/>
    </row>
    <row r="189" spans="6:6" x14ac:dyDescent="0.3">
      <c r="F189" s="49"/>
    </row>
    <row r="190" spans="6:6" x14ac:dyDescent="0.3">
      <c r="F190" s="49"/>
    </row>
    <row r="192" spans="6:6" x14ac:dyDescent="0.3">
      <c r="F192" s="47"/>
    </row>
    <row r="196" spans="6:6" x14ac:dyDescent="0.3">
      <c r="F196" s="47"/>
    </row>
    <row r="197" spans="6:6" x14ac:dyDescent="0.3">
      <c r="F197" s="47"/>
    </row>
    <row r="200" spans="6:6" x14ac:dyDescent="0.3">
      <c r="F200" s="47"/>
    </row>
    <row r="201" spans="6:6" x14ac:dyDescent="0.3">
      <c r="F201" s="47"/>
    </row>
    <row r="202" spans="6:6" x14ac:dyDescent="0.3">
      <c r="F202" s="47"/>
    </row>
    <row r="203" spans="6:6" x14ac:dyDescent="0.3">
      <c r="F203" s="47"/>
    </row>
    <row r="204" spans="6:6" x14ac:dyDescent="0.3">
      <c r="F204" s="47"/>
    </row>
    <row r="207" spans="6:6" x14ac:dyDescent="0.3">
      <c r="F207" s="47"/>
    </row>
    <row r="209" spans="6:6" x14ac:dyDescent="0.3">
      <c r="F209" s="47"/>
    </row>
    <row r="211" spans="6:6" x14ac:dyDescent="0.3">
      <c r="F211" s="47"/>
    </row>
    <row r="213" spans="6:6" x14ac:dyDescent="0.3">
      <c r="F213" s="47"/>
    </row>
    <row r="215" spans="6:6" x14ac:dyDescent="0.3">
      <c r="F215" s="47"/>
    </row>
    <row r="217" spans="6:6" x14ac:dyDescent="0.3">
      <c r="F217" s="47"/>
    </row>
    <row r="219" spans="6:6" x14ac:dyDescent="0.3">
      <c r="F219" s="47"/>
    </row>
    <row r="221" spans="6:6" x14ac:dyDescent="0.3">
      <c r="F221" s="47"/>
    </row>
    <row r="223" spans="6:6" x14ac:dyDescent="0.3">
      <c r="F223" s="47"/>
    </row>
    <row r="225" spans="6:6" x14ac:dyDescent="0.3">
      <c r="F225" s="47"/>
    </row>
    <row r="226" spans="6:6" x14ac:dyDescent="0.3">
      <c r="F226" s="48"/>
    </row>
    <row r="227" spans="6:6" x14ac:dyDescent="0.3">
      <c r="F227" s="49"/>
    </row>
    <row r="228" spans="6:6" x14ac:dyDescent="0.3">
      <c r="F228" s="49"/>
    </row>
    <row r="229" spans="6:6" x14ac:dyDescent="0.3">
      <c r="F229" s="49"/>
    </row>
    <row r="230" spans="6:6" x14ac:dyDescent="0.3">
      <c r="F230" s="49"/>
    </row>
    <row r="231" spans="6:6" x14ac:dyDescent="0.3">
      <c r="F231" s="49"/>
    </row>
    <row r="232" spans="6:6" x14ac:dyDescent="0.3">
      <c r="F232" s="49"/>
    </row>
    <row r="233" spans="6:6" x14ac:dyDescent="0.3">
      <c r="F233" s="49"/>
    </row>
    <row r="234" spans="6:6" x14ac:dyDescent="0.3">
      <c r="F234" s="49"/>
    </row>
    <row r="235" spans="6:6" x14ac:dyDescent="0.3">
      <c r="F235" s="48"/>
    </row>
    <row r="236" spans="6:6" x14ac:dyDescent="0.3">
      <c r="F236" s="49"/>
    </row>
    <row r="237" spans="6:6" x14ac:dyDescent="0.3">
      <c r="F237" s="49"/>
    </row>
    <row r="238" spans="6:6" x14ac:dyDescent="0.3">
      <c r="F238" s="49"/>
    </row>
    <row r="239" spans="6:6" x14ac:dyDescent="0.3">
      <c r="F239" s="49"/>
    </row>
    <row r="240" spans="6:6" x14ac:dyDescent="0.3">
      <c r="F240" s="48"/>
    </row>
    <row r="241" spans="6:6" x14ac:dyDescent="0.3">
      <c r="F241" s="49"/>
    </row>
    <row r="242" spans="6:6" x14ac:dyDescent="0.3">
      <c r="F242" s="49"/>
    </row>
    <row r="243" spans="6:6" x14ac:dyDescent="0.3">
      <c r="F243" s="49"/>
    </row>
    <row r="244" spans="6:6" x14ac:dyDescent="0.3">
      <c r="F244" s="48"/>
    </row>
    <row r="245" spans="6:6" x14ac:dyDescent="0.3">
      <c r="F245" s="49"/>
    </row>
    <row r="246" spans="6:6" x14ac:dyDescent="0.3">
      <c r="F246" s="49"/>
    </row>
    <row r="247" spans="6:6" x14ac:dyDescent="0.3">
      <c r="F247" s="49"/>
    </row>
    <row r="248" spans="6:6" x14ac:dyDescent="0.3">
      <c r="F248" s="49"/>
    </row>
    <row r="249" spans="6:6" x14ac:dyDescent="0.3">
      <c r="F249" s="49"/>
    </row>
    <row r="250" spans="6:6" x14ac:dyDescent="0.3">
      <c r="F250" s="49"/>
    </row>
    <row r="251" spans="6:6" x14ac:dyDescent="0.3">
      <c r="F251" s="48"/>
    </row>
    <row r="252" spans="6:6" x14ac:dyDescent="0.3">
      <c r="F252" s="49"/>
    </row>
    <row r="253" spans="6:6" x14ac:dyDescent="0.3">
      <c r="F253" s="49"/>
    </row>
    <row r="254" spans="6:6" x14ac:dyDescent="0.3">
      <c r="F254" s="49"/>
    </row>
    <row r="255" spans="6:6" x14ac:dyDescent="0.3">
      <c r="F255" s="49"/>
    </row>
    <row r="256" spans="6:6" x14ac:dyDescent="0.3">
      <c r="F256" s="48"/>
    </row>
    <row r="257" spans="6:6" x14ac:dyDescent="0.3">
      <c r="F257" s="49"/>
    </row>
    <row r="258" spans="6:6" x14ac:dyDescent="0.3">
      <c r="F258" s="49"/>
    </row>
    <row r="259" spans="6:6" x14ac:dyDescent="0.3">
      <c r="F259" s="49"/>
    </row>
    <row r="260" spans="6:6" x14ac:dyDescent="0.3">
      <c r="F260" s="49"/>
    </row>
    <row r="261" spans="6:6" x14ac:dyDescent="0.3">
      <c r="F261" s="49"/>
    </row>
    <row r="262" spans="6:6" x14ac:dyDescent="0.3">
      <c r="F262" s="49"/>
    </row>
    <row r="263" spans="6:6" x14ac:dyDescent="0.3">
      <c r="F263" s="49"/>
    </row>
    <row r="264" spans="6:6" x14ac:dyDescent="0.3">
      <c r="F264" s="48"/>
    </row>
    <row r="265" spans="6:6" x14ac:dyDescent="0.3">
      <c r="F265" s="48"/>
    </row>
    <row r="266" spans="6:6" x14ac:dyDescent="0.3">
      <c r="F266" s="48"/>
    </row>
    <row r="267" spans="6:6" x14ac:dyDescent="0.3">
      <c r="F267" s="49"/>
    </row>
    <row r="268" spans="6:6" x14ac:dyDescent="0.3">
      <c r="F268" s="49"/>
    </row>
    <row r="269" spans="6:6" x14ac:dyDescent="0.3">
      <c r="F269" s="49"/>
    </row>
    <row r="270" spans="6:6" x14ac:dyDescent="0.3">
      <c r="F270" s="49"/>
    </row>
    <row r="271" spans="6:6" x14ac:dyDescent="0.3">
      <c r="F271" s="48"/>
    </row>
    <row r="272" spans="6:6" x14ac:dyDescent="0.3">
      <c r="F272" s="48"/>
    </row>
    <row r="277" spans="6:6" x14ac:dyDescent="0.3">
      <c r="F277" s="48"/>
    </row>
    <row r="278" spans="6:6" x14ac:dyDescent="0.3">
      <c r="F278" s="49"/>
    </row>
    <row r="279" spans="6:6" x14ac:dyDescent="0.3">
      <c r="F279" s="49"/>
    </row>
    <row r="280" spans="6:6" x14ac:dyDescent="0.3">
      <c r="F280" s="49"/>
    </row>
    <row r="281" spans="6:6" x14ac:dyDescent="0.3">
      <c r="F281" s="49"/>
    </row>
    <row r="282" spans="6:6" x14ac:dyDescent="0.3">
      <c r="F282" s="49"/>
    </row>
    <row r="283" spans="6:6" x14ac:dyDescent="0.3">
      <c r="F283" s="49"/>
    </row>
    <row r="284" spans="6:6" x14ac:dyDescent="0.3">
      <c r="F284" s="49"/>
    </row>
    <row r="291" spans="6:6" x14ac:dyDescent="0.3">
      <c r="F291" s="47"/>
    </row>
    <row r="294" spans="6:6" x14ac:dyDescent="0.3">
      <c r="F294" s="47"/>
    </row>
    <row r="296" spans="6:6" ht="31.2" x14ac:dyDescent="0.3">
      <c r="F296" s="53"/>
    </row>
  </sheetData>
  <sheetProtection algorithmName="SHA-512" hashValue="Nb2VSrue5nanf81OldajZKeA2yWQUsooTfqQwBQM9B/Qx/2U3OlBp0BfRzgaQKyuiLxzOFHhudOMvm+YaB9/pQ==" saltValue="JOM1QjBnMy+dGxqSZ+WNdg==" spinCount="100000" sheet="1" objects="1" scenarios="1" autoFilter="0"/>
  <protectedRanges>
    <protectedRange sqref="D19:D20 D23 D29 D33 D35 D65:D68 D85:D86 D89:D90 D101:D102 D112 D119 D121:D122" name="Pinout Entry Range 1"/>
  </protectedRanges>
  <autoFilter ref="A4:E124"/>
  <mergeCells count="1">
    <mergeCell ref="A1:D1"/>
  </mergeCells>
  <conditionalFormatting sqref="D19">
    <cfRule type="containsText" dxfId="19" priority="20" operator="containsText" text="&lt;Make Selection&gt;">
      <formula>NOT(ISERROR(SEARCH("&lt;Make Selection&gt;",D19)))</formula>
    </cfRule>
  </conditionalFormatting>
  <conditionalFormatting sqref="D20">
    <cfRule type="containsText" dxfId="18" priority="19" operator="containsText" text="&lt;Make Selection&gt;">
      <formula>NOT(ISERROR(SEARCH("&lt;Make Selection&gt;",D20)))</formula>
    </cfRule>
  </conditionalFormatting>
  <conditionalFormatting sqref="D23">
    <cfRule type="containsText" dxfId="17" priority="18" operator="containsText" text="&lt;Make Selection&gt;">
      <formula>NOT(ISERROR(SEARCH("&lt;Make Selection&gt;",D23)))</formula>
    </cfRule>
  </conditionalFormatting>
  <conditionalFormatting sqref="D29">
    <cfRule type="containsText" dxfId="16" priority="17" operator="containsText" text="&lt;Make Selection&gt;">
      <formula>NOT(ISERROR(SEARCH("&lt;Make Selection&gt;",D29)))</formula>
    </cfRule>
  </conditionalFormatting>
  <conditionalFormatting sqref="D33">
    <cfRule type="containsText" dxfId="15" priority="16" operator="containsText" text="&lt;Make Selection&gt;">
      <formula>NOT(ISERROR(SEARCH("&lt;Make Selection&gt;",D33)))</formula>
    </cfRule>
  </conditionalFormatting>
  <conditionalFormatting sqref="D35">
    <cfRule type="containsText" dxfId="14" priority="15" operator="containsText" text="&lt;Make Selection&gt;">
      <formula>NOT(ISERROR(SEARCH("&lt;Make Selection&gt;",D35)))</formula>
    </cfRule>
  </conditionalFormatting>
  <conditionalFormatting sqref="D65">
    <cfRule type="containsText" dxfId="13" priority="14" operator="containsText" text="&lt;Make Selection&gt;">
      <formula>NOT(ISERROR(SEARCH("&lt;Make Selection&gt;",D65)))</formula>
    </cfRule>
  </conditionalFormatting>
  <conditionalFormatting sqref="D66">
    <cfRule type="containsText" dxfId="12" priority="13" operator="containsText" text="&lt;Make Selection&gt;">
      <formula>NOT(ISERROR(SEARCH("&lt;Make Selection&gt;",D66)))</formula>
    </cfRule>
  </conditionalFormatting>
  <conditionalFormatting sqref="D67">
    <cfRule type="containsText" dxfId="11" priority="12" operator="containsText" text="&lt;Make Selection&gt;">
      <formula>NOT(ISERROR(SEARCH("&lt;Make Selection&gt;",D67)))</formula>
    </cfRule>
  </conditionalFormatting>
  <conditionalFormatting sqref="D68">
    <cfRule type="containsText" dxfId="10" priority="11" operator="containsText" text="&lt;Make Selection&gt;">
      <formula>NOT(ISERROR(SEARCH("&lt;Make Selection&gt;",D68)))</formula>
    </cfRule>
  </conditionalFormatting>
  <conditionalFormatting sqref="D85">
    <cfRule type="containsText" dxfId="9" priority="10" operator="containsText" text="&lt;Make Selection&gt;">
      <formula>NOT(ISERROR(SEARCH("&lt;Make Selection&gt;",D85)))</formula>
    </cfRule>
  </conditionalFormatting>
  <conditionalFormatting sqref="D86">
    <cfRule type="containsText" dxfId="8" priority="9" operator="containsText" text="&lt;Make Selection&gt;">
      <formula>NOT(ISERROR(SEARCH("&lt;Make Selection&gt;",D86)))</formula>
    </cfRule>
  </conditionalFormatting>
  <conditionalFormatting sqref="D89">
    <cfRule type="containsText" dxfId="7" priority="8" operator="containsText" text="&lt;Make Selection&gt;">
      <formula>NOT(ISERROR(SEARCH("&lt;Make Selection&gt;",D89)))</formula>
    </cfRule>
  </conditionalFormatting>
  <conditionalFormatting sqref="D90">
    <cfRule type="containsText" dxfId="6" priority="7" operator="containsText" text="&lt;Make Selection&gt;">
      <formula>NOT(ISERROR(SEARCH("&lt;Make Selection&gt;",D90)))</formula>
    </cfRule>
  </conditionalFormatting>
  <conditionalFormatting sqref="D101">
    <cfRule type="containsText" dxfId="5" priority="6" operator="containsText" text="&lt;Make Selection&gt;">
      <formula>NOT(ISERROR(SEARCH("&lt;Make Selection&gt;",D101)))</formula>
    </cfRule>
  </conditionalFormatting>
  <conditionalFormatting sqref="D102">
    <cfRule type="containsText" dxfId="4" priority="5" operator="containsText" text="&lt;Make Selection&gt;">
      <formula>NOT(ISERROR(SEARCH("&lt;Make Selection&gt;",D102)))</formula>
    </cfRule>
  </conditionalFormatting>
  <conditionalFormatting sqref="D112">
    <cfRule type="containsText" dxfId="3" priority="4" operator="containsText" text="&lt;Make Selection&gt;">
      <formula>NOT(ISERROR(SEARCH("&lt;Make Selection&gt;",D112)))</formula>
    </cfRule>
  </conditionalFormatting>
  <conditionalFormatting sqref="D119">
    <cfRule type="containsText" dxfId="2" priority="3" operator="containsText" text="&lt;Make Selection&gt;">
      <formula>NOT(ISERROR(SEARCH("&lt;Make Selection&gt;",D119)))</formula>
    </cfRule>
  </conditionalFormatting>
  <conditionalFormatting sqref="D121">
    <cfRule type="containsText" dxfId="1" priority="2" operator="containsText" text="&lt;Make Selection&gt;">
      <formula>NOT(ISERROR(SEARCH("&lt;Make Selection&gt;",D121)))</formula>
    </cfRule>
  </conditionalFormatting>
  <conditionalFormatting sqref="D122">
    <cfRule type="containsText" dxfId="0" priority="1" operator="containsText" text="&lt;Make Selection&gt;">
      <formula>NOT(ISERROR(SEARCH("&lt;Make Selection&gt;",D122)))</formula>
    </cfRule>
  </conditionalFormatting>
  <pageMargins left="0.7" right="0.7" top="0.75" bottom="0.75" header="0.3" footer="0.3"/>
  <pageSetup orientation="portrait" horizontalDpi="1200" verticalDpi="1200" r:id="rId1"/>
  <drawing r:id="rId2"/>
  <legacyDrawing r:id="rId3"/>
  <controls>
    <mc:AlternateContent xmlns:mc="http://schemas.openxmlformats.org/markup-compatibility/2006">
      <mc:Choice Requires="x14">
        <control shapeId="2109" r:id="rId4" name="Control 61">
          <controlPr defaultSize="0" r:id="rId5">
            <anchor moveWithCells="1">
              <from>
                <xdr:col>6</xdr:col>
                <xdr:colOff>0</xdr:colOff>
                <xdr:row>273</xdr:row>
                <xdr:rowOff>0</xdr:rowOff>
              </from>
              <to>
                <xdr:col>6</xdr:col>
                <xdr:colOff>175260</xdr:colOff>
                <xdr:row>273</xdr:row>
                <xdr:rowOff>167640</xdr:rowOff>
              </to>
            </anchor>
          </controlPr>
        </control>
      </mc:Choice>
      <mc:Fallback>
        <control shapeId="2109" r:id="rId4" name="Control 61"/>
      </mc:Fallback>
    </mc:AlternateContent>
    <mc:AlternateContent xmlns:mc="http://schemas.openxmlformats.org/markup-compatibility/2006">
      <mc:Choice Requires="x14">
        <control shapeId="2108" r:id="rId6" name="Control 60">
          <controlPr defaultSize="0" r:id="rId7">
            <anchor moveWithCells="1">
              <from>
                <xdr:col>5</xdr:col>
                <xdr:colOff>0</xdr:colOff>
                <xdr:row>273</xdr:row>
                <xdr:rowOff>0</xdr:rowOff>
              </from>
              <to>
                <xdr:col>6</xdr:col>
                <xdr:colOff>304800</xdr:colOff>
                <xdr:row>274</xdr:row>
                <xdr:rowOff>45720</xdr:rowOff>
              </to>
            </anchor>
          </controlPr>
        </control>
      </mc:Choice>
      <mc:Fallback>
        <control shapeId="2108" r:id="rId6" name="Control 60"/>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Dropdowns!$A$138:$A$140</xm:f>
          </x14:formula1>
          <xm:sqref>D121:D122 D119 D112</xm:sqref>
        </x14:dataValidation>
        <x14:dataValidation type="list" allowBlank="1" showInputMessage="1" showErrorMessage="1">
          <x14:formula1>
            <xm:f>Dropdowns!$A$143:$A$145</xm:f>
          </x14:formula1>
          <xm:sqref>D19:D20 D23 D29 D33 D35 D65:D68 D85:D86 D89:D90 D101:D102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pane ySplit="2" topLeftCell="A3" activePane="bottomLeft" state="frozen"/>
      <selection pane="bottomLeft" activeCell="D13" sqref="D13"/>
    </sheetView>
  </sheetViews>
  <sheetFormatPr defaultRowHeight="14.4" x14ac:dyDescent="0.3"/>
  <cols>
    <col min="1" max="1" width="8.88671875" style="34"/>
    <col min="2" max="2" width="12.109375" style="34" customWidth="1"/>
    <col min="3" max="3" width="25.33203125" style="5" customWidth="1"/>
    <col min="4" max="4" width="30.5546875" style="5" customWidth="1"/>
    <col min="5" max="5" width="9.88671875" style="5" customWidth="1"/>
    <col min="6" max="6" width="19.88671875" style="5" customWidth="1"/>
    <col min="7" max="7" width="11.21875" style="5" hidden="1" customWidth="1"/>
    <col min="8" max="16384" width="8.88671875" style="5"/>
  </cols>
  <sheetData>
    <row r="1" spans="1:7" ht="28.8" customHeight="1" x14ac:dyDescent="0.3">
      <c r="A1" s="131" t="s">
        <v>339</v>
      </c>
      <c r="B1" s="131" t="s">
        <v>340</v>
      </c>
      <c r="C1" s="132" t="s">
        <v>341</v>
      </c>
      <c r="D1" s="132" t="s">
        <v>342</v>
      </c>
      <c r="E1" s="132" t="s">
        <v>343</v>
      </c>
      <c r="F1" s="133" t="s">
        <v>344</v>
      </c>
      <c r="G1" s="130" t="s">
        <v>345</v>
      </c>
    </row>
    <row r="2" spans="1:7" x14ac:dyDescent="0.3">
      <c r="A2" s="131"/>
      <c r="B2" s="131"/>
      <c r="C2" s="132"/>
      <c r="D2" s="132"/>
      <c r="E2" s="132"/>
      <c r="F2" s="133"/>
      <c r="G2" s="130"/>
    </row>
    <row r="3" spans="1:7" ht="15" customHeight="1" x14ac:dyDescent="0.3">
      <c r="A3" s="54" t="s">
        <v>346</v>
      </c>
      <c r="B3" s="54" t="s">
        <v>308</v>
      </c>
      <c r="C3" s="55" t="s">
        <v>347</v>
      </c>
      <c r="D3" s="55" t="s">
        <v>348</v>
      </c>
      <c r="E3" s="55" t="s">
        <v>349</v>
      </c>
      <c r="F3" s="56" t="s">
        <v>350</v>
      </c>
    </row>
    <row r="4" spans="1:7" ht="15" customHeight="1" x14ac:dyDescent="0.3">
      <c r="A4" s="54" t="s">
        <v>346</v>
      </c>
      <c r="B4" s="54" t="s">
        <v>308</v>
      </c>
      <c r="C4" s="55" t="s">
        <v>347</v>
      </c>
      <c r="D4" s="55" t="s">
        <v>351</v>
      </c>
      <c r="E4" s="55" t="s">
        <v>349</v>
      </c>
      <c r="F4" s="56" t="s">
        <v>350</v>
      </c>
    </row>
    <row r="5" spans="1:7" ht="15" customHeight="1" x14ac:dyDescent="0.3">
      <c r="A5" s="54" t="s">
        <v>346</v>
      </c>
      <c r="B5" s="54" t="s">
        <v>308</v>
      </c>
      <c r="C5" s="55" t="s">
        <v>347</v>
      </c>
      <c r="D5" s="55" t="s">
        <v>352</v>
      </c>
      <c r="E5" s="55" t="s">
        <v>349</v>
      </c>
      <c r="F5" s="56" t="s">
        <v>350</v>
      </c>
    </row>
    <row r="6" spans="1:7" ht="14.4" customHeight="1" x14ac:dyDescent="0.3">
      <c r="A6" s="54" t="s">
        <v>346</v>
      </c>
      <c r="B6" s="54" t="s">
        <v>308</v>
      </c>
      <c r="C6" s="55" t="s">
        <v>353</v>
      </c>
      <c r="D6" s="55" t="s">
        <v>354</v>
      </c>
      <c r="E6" s="55" t="s">
        <v>355</v>
      </c>
      <c r="F6" s="56" t="s">
        <v>356</v>
      </c>
    </row>
    <row r="7" spans="1:7" ht="15" customHeight="1" x14ac:dyDescent="0.3">
      <c r="A7" s="54" t="s">
        <v>346</v>
      </c>
      <c r="B7" s="54" t="s">
        <v>308</v>
      </c>
      <c r="C7" s="55" t="s">
        <v>353</v>
      </c>
      <c r="D7" s="55" t="s">
        <v>357</v>
      </c>
      <c r="E7" s="55" t="s">
        <v>358</v>
      </c>
      <c r="F7" s="56" t="s">
        <v>356</v>
      </c>
    </row>
    <row r="8" spans="1:7" ht="15" customHeight="1" x14ac:dyDescent="0.3">
      <c r="A8" s="54" t="s">
        <v>346</v>
      </c>
      <c r="B8" s="54" t="s">
        <v>308</v>
      </c>
      <c r="C8" s="55" t="s">
        <v>353</v>
      </c>
      <c r="D8" s="57">
        <v>400</v>
      </c>
      <c r="E8" s="55" t="s">
        <v>358</v>
      </c>
      <c r="F8" s="56" t="s">
        <v>356</v>
      </c>
    </row>
    <row r="9" spans="1:7" ht="36" customHeight="1" x14ac:dyDescent="0.3">
      <c r="A9" s="54" t="s">
        <v>346</v>
      </c>
      <c r="B9" s="54" t="s">
        <v>308</v>
      </c>
      <c r="C9" s="55" t="s">
        <v>353</v>
      </c>
      <c r="D9" s="55" t="s">
        <v>359</v>
      </c>
      <c r="E9" s="55" t="s">
        <v>358</v>
      </c>
      <c r="F9" s="56" t="s">
        <v>356</v>
      </c>
    </row>
    <row r="10" spans="1:7" ht="15" customHeight="1" x14ac:dyDescent="0.3">
      <c r="A10" s="54" t="s">
        <v>346</v>
      </c>
      <c r="B10" s="54" t="s">
        <v>308</v>
      </c>
      <c r="C10" s="55" t="s">
        <v>353</v>
      </c>
      <c r="D10" s="55" t="s">
        <v>360</v>
      </c>
      <c r="E10" s="55" t="s">
        <v>358</v>
      </c>
      <c r="F10" s="56" t="s">
        <v>356</v>
      </c>
    </row>
    <row r="11" spans="1:7" ht="24" customHeight="1" x14ac:dyDescent="0.3">
      <c r="A11" s="54" t="s">
        <v>346</v>
      </c>
      <c r="B11" s="54" t="s">
        <v>308</v>
      </c>
      <c r="C11" s="55" t="s">
        <v>353</v>
      </c>
      <c r="D11" s="55" t="s">
        <v>361</v>
      </c>
      <c r="E11" s="55" t="s">
        <v>362</v>
      </c>
      <c r="F11" s="58" t="s">
        <v>604</v>
      </c>
    </row>
    <row r="12" spans="1:7" ht="24" customHeight="1" x14ac:dyDescent="0.3">
      <c r="A12" s="54" t="s">
        <v>346</v>
      </c>
      <c r="B12" s="54" t="s">
        <v>308</v>
      </c>
      <c r="C12" s="55" t="s">
        <v>353</v>
      </c>
      <c r="D12" s="55" t="s">
        <v>364</v>
      </c>
      <c r="E12" s="55" t="s">
        <v>362</v>
      </c>
      <c r="F12" s="58" t="s">
        <v>604</v>
      </c>
    </row>
    <row r="13" spans="1:7" ht="24" customHeight="1" x14ac:dyDescent="0.3">
      <c r="A13" s="54" t="s">
        <v>346</v>
      </c>
      <c r="B13" s="54" t="s">
        <v>308</v>
      </c>
      <c r="C13" s="55" t="s">
        <v>353</v>
      </c>
      <c r="D13" s="55" t="s">
        <v>365</v>
      </c>
      <c r="E13" s="55" t="s">
        <v>362</v>
      </c>
      <c r="F13" s="5" t="s">
        <v>363</v>
      </c>
    </row>
    <row r="14" spans="1:7" ht="24" customHeight="1" x14ac:dyDescent="0.3">
      <c r="A14" s="54" t="s">
        <v>346</v>
      </c>
      <c r="B14" s="54" t="s">
        <v>308</v>
      </c>
      <c r="C14" s="55" t="s">
        <v>353</v>
      </c>
      <c r="D14" s="55" t="s">
        <v>366</v>
      </c>
      <c r="E14" s="55" t="s">
        <v>362</v>
      </c>
      <c r="F14" s="5" t="s">
        <v>363</v>
      </c>
    </row>
    <row r="15" spans="1:7" ht="24" customHeight="1" x14ac:dyDescent="0.3">
      <c r="A15" s="54" t="s">
        <v>346</v>
      </c>
      <c r="B15" s="54" t="s">
        <v>308</v>
      </c>
      <c r="C15" s="55" t="s">
        <v>353</v>
      </c>
      <c r="D15" s="55" t="s">
        <v>367</v>
      </c>
      <c r="E15" s="55" t="s">
        <v>362</v>
      </c>
      <c r="F15" s="5" t="s">
        <v>363</v>
      </c>
    </row>
    <row r="16" spans="1:7" ht="24" customHeight="1" x14ac:dyDescent="0.3">
      <c r="A16" s="54" t="s">
        <v>346</v>
      </c>
      <c r="B16" s="54" t="s">
        <v>308</v>
      </c>
      <c r="C16" s="55" t="s">
        <v>353</v>
      </c>
      <c r="D16" s="55" t="s">
        <v>368</v>
      </c>
      <c r="E16" s="55" t="s">
        <v>362</v>
      </c>
      <c r="F16" s="5" t="s">
        <v>363</v>
      </c>
    </row>
    <row r="17" spans="1:7" ht="24" customHeight="1" x14ac:dyDescent="0.3">
      <c r="A17" s="54" t="s">
        <v>346</v>
      </c>
      <c r="B17" s="54" t="s">
        <v>308</v>
      </c>
      <c r="C17" s="55" t="s">
        <v>353</v>
      </c>
      <c r="D17" s="55" t="s">
        <v>369</v>
      </c>
      <c r="E17" s="55" t="s">
        <v>362</v>
      </c>
      <c r="F17" s="58" t="s">
        <v>363</v>
      </c>
    </row>
    <row r="18" spans="1:7" ht="15" customHeight="1" x14ac:dyDescent="0.3">
      <c r="A18" s="54" t="s">
        <v>346</v>
      </c>
      <c r="B18" s="54" t="s">
        <v>308</v>
      </c>
      <c r="C18" s="55" t="s">
        <v>353</v>
      </c>
      <c r="D18" s="55" t="s">
        <v>370</v>
      </c>
      <c r="E18" s="55" t="s">
        <v>362</v>
      </c>
      <c r="F18" s="58" t="s">
        <v>605</v>
      </c>
    </row>
    <row r="19" spans="1:7" ht="15" customHeight="1" x14ac:dyDescent="0.3">
      <c r="A19" s="54" t="s">
        <v>346</v>
      </c>
      <c r="B19" s="54" t="s">
        <v>308</v>
      </c>
      <c r="C19" s="55" t="s">
        <v>371</v>
      </c>
      <c r="D19" s="55" t="s">
        <v>372</v>
      </c>
      <c r="E19" s="55" t="s">
        <v>373</v>
      </c>
      <c r="F19" s="56" t="s">
        <v>374</v>
      </c>
    </row>
    <row r="20" spans="1:7" ht="24" customHeight="1" x14ac:dyDescent="0.3">
      <c r="A20" s="54" t="s">
        <v>346</v>
      </c>
      <c r="B20" s="54" t="s">
        <v>308</v>
      </c>
      <c r="C20" s="55" t="s">
        <v>371</v>
      </c>
      <c r="D20" s="55" t="s">
        <v>375</v>
      </c>
      <c r="E20" s="55" t="s">
        <v>373</v>
      </c>
      <c r="F20" s="56" t="s">
        <v>374</v>
      </c>
    </row>
    <row r="21" spans="1:7" ht="24.6" customHeight="1" x14ac:dyDescent="0.3">
      <c r="A21" s="54" t="s">
        <v>346</v>
      </c>
      <c r="B21" s="54" t="s">
        <v>308</v>
      </c>
      <c r="C21" s="55" t="s">
        <v>371</v>
      </c>
      <c r="D21" s="55" t="s">
        <v>376</v>
      </c>
      <c r="E21" s="55" t="s">
        <v>373</v>
      </c>
      <c r="F21" s="56" t="s">
        <v>377</v>
      </c>
    </row>
    <row r="22" spans="1:7" ht="24.6" customHeight="1" x14ac:dyDescent="0.3">
      <c r="A22" s="54" t="s">
        <v>346</v>
      </c>
      <c r="B22" s="54" t="s">
        <v>308</v>
      </c>
      <c r="C22" s="55" t="s">
        <v>371</v>
      </c>
      <c r="D22" s="55" t="s">
        <v>378</v>
      </c>
      <c r="E22" s="55" t="s">
        <v>379</v>
      </c>
      <c r="F22" s="56" t="s">
        <v>380</v>
      </c>
    </row>
    <row r="23" spans="1:7" ht="24" customHeight="1" x14ac:dyDescent="0.3">
      <c r="A23" s="54" t="s">
        <v>346</v>
      </c>
      <c r="B23" s="54" t="s">
        <v>308</v>
      </c>
      <c r="C23" s="55" t="s">
        <v>381</v>
      </c>
      <c r="D23" s="59" t="s">
        <v>382</v>
      </c>
      <c r="E23" s="55" t="s">
        <v>383</v>
      </c>
      <c r="F23" s="56" t="s">
        <v>384</v>
      </c>
    </row>
    <row r="24" spans="1:7" ht="24" customHeight="1" x14ac:dyDescent="0.3">
      <c r="A24" s="54" t="s">
        <v>346</v>
      </c>
      <c r="B24" s="54" t="s">
        <v>308</v>
      </c>
      <c r="C24" s="55" t="s">
        <v>381</v>
      </c>
      <c r="D24" s="59" t="s">
        <v>385</v>
      </c>
      <c r="E24" s="55" t="s">
        <v>383</v>
      </c>
      <c r="F24" s="56" t="s">
        <v>384</v>
      </c>
    </row>
    <row r="25" spans="1:7" ht="24" customHeight="1" x14ac:dyDescent="0.3">
      <c r="A25" s="54" t="s">
        <v>346</v>
      </c>
      <c r="B25" s="54" t="s">
        <v>308</v>
      </c>
      <c r="C25" s="55" t="s">
        <v>381</v>
      </c>
      <c r="D25" s="59" t="s">
        <v>386</v>
      </c>
      <c r="E25" s="55" t="s">
        <v>383</v>
      </c>
      <c r="F25" s="56" t="s">
        <v>387</v>
      </c>
    </row>
    <row r="26" spans="1:7" ht="24.6" customHeight="1" x14ac:dyDescent="0.3">
      <c r="A26" s="54" t="s">
        <v>346</v>
      </c>
      <c r="B26" s="54" t="s">
        <v>308</v>
      </c>
      <c r="C26" s="55" t="s">
        <v>381</v>
      </c>
      <c r="D26" s="59" t="s">
        <v>388</v>
      </c>
      <c r="E26" s="55" t="s">
        <v>383</v>
      </c>
      <c r="F26" s="56" t="s">
        <v>389</v>
      </c>
    </row>
    <row r="27" spans="1:7" ht="72" customHeight="1" x14ac:dyDescent="0.3">
      <c r="A27" s="54" t="s">
        <v>346</v>
      </c>
      <c r="B27" s="54" t="s">
        <v>308</v>
      </c>
      <c r="C27" s="55" t="s">
        <v>381</v>
      </c>
      <c r="D27" s="55" t="s">
        <v>390</v>
      </c>
      <c r="E27" s="55" t="s">
        <v>391</v>
      </c>
      <c r="F27" s="5" t="s">
        <v>392</v>
      </c>
    </row>
    <row r="28" spans="1:7" ht="36" customHeight="1" x14ac:dyDescent="0.3">
      <c r="A28" s="54" t="s">
        <v>346</v>
      </c>
      <c r="B28" s="54" t="s">
        <v>308</v>
      </c>
      <c r="C28" s="55" t="s">
        <v>381</v>
      </c>
      <c r="D28" s="60" t="s">
        <v>393</v>
      </c>
      <c r="E28" s="55" t="s">
        <v>391</v>
      </c>
      <c r="F28" s="5" t="s">
        <v>392</v>
      </c>
    </row>
    <row r="29" spans="1:7" ht="36" customHeight="1" x14ac:dyDescent="0.3">
      <c r="A29" s="54" t="s">
        <v>346</v>
      </c>
      <c r="B29" s="54" t="s">
        <v>308</v>
      </c>
      <c r="C29" s="55" t="s">
        <v>381</v>
      </c>
      <c r="D29" s="60" t="s">
        <v>394</v>
      </c>
      <c r="E29" s="55" t="s">
        <v>391</v>
      </c>
      <c r="F29" s="5" t="s">
        <v>392</v>
      </c>
    </row>
    <row r="30" spans="1:7" ht="24" customHeight="1" x14ac:dyDescent="0.3">
      <c r="A30" s="54" t="s">
        <v>346</v>
      </c>
      <c r="B30" s="54" t="s">
        <v>308</v>
      </c>
      <c r="C30" s="55" t="s">
        <v>381</v>
      </c>
      <c r="D30" s="60" t="s">
        <v>395</v>
      </c>
      <c r="E30" s="55" t="s">
        <v>391</v>
      </c>
      <c r="F30" s="5" t="s">
        <v>392</v>
      </c>
    </row>
    <row r="31" spans="1:7" ht="24" customHeight="1" x14ac:dyDescent="0.3">
      <c r="A31" s="54" t="s">
        <v>346</v>
      </c>
      <c r="B31" s="54" t="s">
        <v>308</v>
      </c>
      <c r="C31" s="55" t="s">
        <v>381</v>
      </c>
      <c r="D31" s="55" t="s">
        <v>396</v>
      </c>
      <c r="E31" s="55" t="s">
        <v>391</v>
      </c>
      <c r="F31" s="5" t="s">
        <v>397</v>
      </c>
    </row>
    <row r="32" spans="1:7" ht="24" customHeight="1" x14ac:dyDescent="0.3">
      <c r="A32" s="54" t="s">
        <v>346</v>
      </c>
      <c r="B32" s="54" t="s">
        <v>308</v>
      </c>
      <c r="C32" s="55" t="s">
        <v>381</v>
      </c>
      <c r="D32" s="55" t="s">
        <v>398</v>
      </c>
      <c r="E32" s="55" t="s">
        <v>391</v>
      </c>
      <c r="F32" s="56" t="s">
        <v>399</v>
      </c>
      <c r="G32" s="5">
        <v>473</v>
      </c>
    </row>
    <row r="33" spans="1:7" ht="24" customHeight="1" x14ac:dyDescent="0.3">
      <c r="A33" s="54" t="s">
        <v>346</v>
      </c>
      <c r="B33" s="54" t="s">
        <v>308</v>
      </c>
      <c r="C33" s="55" t="s">
        <v>381</v>
      </c>
      <c r="D33" s="55" t="s">
        <v>400</v>
      </c>
      <c r="E33" s="55" t="s">
        <v>391</v>
      </c>
      <c r="F33" s="56" t="s">
        <v>399</v>
      </c>
      <c r="G33" s="5">
        <v>473</v>
      </c>
    </row>
    <row r="34" spans="1:7" ht="24" customHeight="1" x14ac:dyDescent="0.3">
      <c r="A34" s="54" t="s">
        <v>346</v>
      </c>
      <c r="B34" s="54" t="s">
        <v>308</v>
      </c>
      <c r="C34" s="55" t="s">
        <v>381</v>
      </c>
      <c r="D34" s="55" t="s">
        <v>401</v>
      </c>
      <c r="E34" s="55" t="s">
        <v>391</v>
      </c>
      <c r="F34" s="56" t="s">
        <v>402</v>
      </c>
    </row>
    <row r="35" spans="1:7" ht="24" customHeight="1" x14ac:dyDescent="0.3">
      <c r="A35" s="54" t="s">
        <v>346</v>
      </c>
      <c r="B35" s="54" t="s">
        <v>308</v>
      </c>
      <c r="C35" s="55" t="s">
        <v>381</v>
      </c>
      <c r="D35" s="55" t="s">
        <v>403</v>
      </c>
      <c r="E35" s="55" t="s">
        <v>391</v>
      </c>
      <c r="F35" s="56" t="s">
        <v>404</v>
      </c>
    </row>
    <row r="36" spans="1:7" ht="24.6" customHeight="1" x14ac:dyDescent="0.3">
      <c r="A36" s="54" t="s">
        <v>346</v>
      </c>
      <c r="B36" s="54" t="s">
        <v>308</v>
      </c>
      <c r="C36" s="55" t="s">
        <v>381</v>
      </c>
      <c r="D36" s="55" t="s">
        <v>405</v>
      </c>
      <c r="E36" s="55" t="s">
        <v>406</v>
      </c>
      <c r="F36" s="5" t="s">
        <v>407</v>
      </c>
    </row>
    <row r="37" spans="1:7" ht="24" customHeight="1" x14ac:dyDescent="0.3">
      <c r="A37" s="54" t="s">
        <v>346</v>
      </c>
      <c r="B37" s="54" t="s">
        <v>308</v>
      </c>
      <c r="C37" s="55" t="s">
        <v>408</v>
      </c>
      <c r="D37" s="55" t="s">
        <v>409</v>
      </c>
      <c r="E37" s="55" t="s">
        <v>410</v>
      </c>
      <c r="F37" s="5" t="s">
        <v>411</v>
      </c>
    </row>
    <row r="38" spans="1:7" ht="48" customHeight="1" x14ac:dyDescent="0.3">
      <c r="A38" s="54" t="s">
        <v>346</v>
      </c>
      <c r="B38" s="54" t="s">
        <v>308</v>
      </c>
      <c r="C38" s="55" t="s">
        <v>408</v>
      </c>
      <c r="D38" s="55" t="s">
        <v>412</v>
      </c>
      <c r="E38" s="55" t="s">
        <v>410</v>
      </c>
      <c r="F38" s="5" t="s">
        <v>411</v>
      </c>
    </row>
    <row r="39" spans="1:7" ht="36" customHeight="1" x14ac:dyDescent="0.3">
      <c r="A39" s="54" t="s">
        <v>346</v>
      </c>
      <c r="B39" s="54" t="s">
        <v>308</v>
      </c>
      <c r="C39" s="55" t="s">
        <v>408</v>
      </c>
      <c r="D39" s="55" t="s">
        <v>413</v>
      </c>
      <c r="E39" s="55" t="s">
        <v>410</v>
      </c>
      <c r="F39" s="5" t="s">
        <v>411</v>
      </c>
    </row>
    <row r="40" spans="1:7" ht="24" customHeight="1" x14ac:dyDescent="0.3">
      <c r="A40" s="54" t="s">
        <v>346</v>
      </c>
      <c r="B40" s="54" t="s">
        <v>308</v>
      </c>
      <c r="C40" s="55" t="s">
        <v>408</v>
      </c>
      <c r="D40" s="55" t="s">
        <v>414</v>
      </c>
      <c r="E40" s="55" t="s">
        <v>410</v>
      </c>
      <c r="F40" s="5" t="s">
        <v>411</v>
      </c>
    </row>
    <row r="41" spans="1:7" ht="24.6" customHeight="1" x14ac:dyDescent="0.3">
      <c r="A41" s="54" t="s">
        <v>346</v>
      </c>
      <c r="B41" s="54" t="s">
        <v>308</v>
      </c>
      <c r="C41" s="55" t="s">
        <v>408</v>
      </c>
      <c r="D41" s="55" t="s">
        <v>415</v>
      </c>
      <c r="E41" s="55" t="s">
        <v>410</v>
      </c>
      <c r="F41" s="5" t="s">
        <v>411</v>
      </c>
    </row>
    <row r="42" spans="1:7" ht="24.6" customHeight="1" x14ac:dyDescent="0.3">
      <c r="A42" s="54" t="s">
        <v>346</v>
      </c>
      <c r="B42" s="54" t="s">
        <v>308</v>
      </c>
      <c r="C42" s="55" t="s">
        <v>408</v>
      </c>
      <c r="D42" s="55" t="s">
        <v>416</v>
      </c>
      <c r="E42" s="55" t="s">
        <v>417</v>
      </c>
      <c r="F42" s="58" t="s">
        <v>411</v>
      </c>
    </row>
    <row r="43" spans="1:7" ht="24" customHeight="1" x14ac:dyDescent="0.3">
      <c r="A43" s="54" t="s">
        <v>346</v>
      </c>
      <c r="B43" s="54" t="s">
        <v>308</v>
      </c>
      <c r="C43" s="55" t="s">
        <v>408</v>
      </c>
      <c r="D43" s="55" t="s">
        <v>418</v>
      </c>
      <c r="E43" s="55" t="s">
        <v>419</v>
      </c>
      <c r="F43" s="5" t="s">
        <v>420</v>
      </c>
    </row>
    <row r="44" spans="1:7" ht="24" customHeight="1" x14ac:dyDescent="0.3">
      <c r="A44" s="54" t="s">
        <v>346</v>
      </c>
      <c r="B44" s="54" t="s">
        <v>308</v>
      </c>
      <c r="C44" s="55" t="s">
        <v>408</v>
      </c>
      <c r="D44" s="55" t="s">
        <v>421</v>
      </c>
      <c r="E44" s="55" t="s">
        <v>419</v>
      </c>
      <c r="F44" s="56" t="s">
        <v>422</v>
      </c>
    </row>
    <row r="45" spans="1:7" ht="24.6" customHeight="1" x14ac:dyDescent="0.3">
      <c r="A45" s="54" t="s">
        <v>346</v>
      </c>
      <c r="B45" s="54" t="s">
        <v>308</v>
      </c>
      <c r="C45" s="55" t="s">
        <v>408</v>
      </c>
      <c r="D45" s="55" t="s">
        <v>423</v>
      </c>
      <c r="E45" s="55" t="s">
        <v>419</v>
      </c>
      <c r="F45" s="56" t="s">
        <v>422</v>
      </c>
    </row>
    <row r="46" spans="1:7" ht="15" customHeight="1" x14ac:dyDescent="0.3">
      <c r="A46" s="54" t="s">
        <v>346</v>
      </c>
      <c r="B46" s="54" t="s">
        <v>308</v>
      </c>
      <c r="C46" s="55" t="s">
        <v>408</v>
      </c>
      <c r="D46" s="55" t="s">
        <v>424</v>
      </c>
      <c r="E46" s="55" t="s">
        <v>425</v>
      </c>
      <c r="F46" s="5" t="s">
        <v>426</v>
      </c>
    </row>
    <row r="47" spans="1:7" ht="24.6" customHeight="1" x14ac:dyDescent="0.3">
      <c r="A47" s="54" t="s">
        <v>346</v>
      </c>
      <c r="B47" s="54" t="s">
        <v>308</v>
      </c>
      <c r="C47" s="55" t="s">
        <v>408</v>
      </c>
      <c r="D47" s="55" t="s">
        <v>427</v>
      </c>
      <c r="E47" s="55" t="s">
        <v>425</v>
      </c>
      <c r="F47" s="5" t="s">
        <v>426</v>
      </c>
    </row>
    <row r="48" spans="1:7" ht="24" customHeight="1" x14ac:dyDescent="0.3">
      <c r="A48" s="54" t="s">
        <v>346</v>
      </c>
      <c r="B48" s="54" t="s">
        <v>308</v>
      </c>
      <c r="C48" s="55" t="s">
        <v>428</v>
      </c>
      <c r="D48" s="55" t="s">
        <v>429</v>
      </c>
      <c r="E48" s="55" t="s">
        <v>430</v>
      </c>
      <c r="F48" s="56" t="s">
        <v>431</v>
      </c>
    </row>
    <row r="49" spans="1:6" ht="36" customHeight="1" x14ac:dyDescent="0.3">
      <c r="A49" s="54" t="s">
        <v>346</v>
      </c>
      <c r="B49" s="54" t="s">
        <v>308</v>
      </c>
      <c r="C49" s="55" t="s">
        <v>432</v>
      </c>
      <c r="D49" s="55" t="s">
        <v>433</v>
      </c>
      <c r="E49" s="55" t="s">
        <v>434</v>
      </c>
      <c r="F49" s="56" t="s">
        <v>435</v>
      </c>
    </row>
    <row r="50" spans="1:6" ht="15" customHeight="1" x14ac:dyDescent="0.3">
      <c r="A50" s="54" t="s">
        <v>346</v>
      </c>
      <c r="B50" s="54" t="s">
        <v>308</v>
      </c>
      <c r="C50" s="55" t="s">
        <v>432</v>
      </c>
      <c r="D50" s="55" t="s">
        <v>436</v>
      </c>
      <c r="E50" s="55" t="s">
        <v>434</v>
      </c>
      <c r="F50" s="56" t="s">
        <v>435</v>
      </c>
    </row>
    <row r="51" spans="1:6" ht="48.6" customHeight="1" x14ac:dyDescent="0.3">
      <c r="A51" s="54" t="s">
        <v>346</v>
      </c>
      <c r="B51" s="54" t="s">
        <v>308</v>
      </c>
      <c r="C51" s="55" t="s">
        <v>432</v>
      </c>
      <c r="D51" s="55" t="s">
        <v>437</v>
      </c>
      <c r="E51" s="55" t="s">
        <v>434</v>
      </c>
      <c r="F51" s="56" t="s">
        <v>435</v>
      </c>
    </row>
    <row r="52" spans="1:6" ht="15" customHeight="1" x14ac:dyDescent="0.3">
      <c r="A52" s="54" t="s">
        <v>346</v>
      </c>
      <c r="B52" s="54" t="s">
        <v>308</v>
      </c>
      <c r="C52" s="55" t="s">
        <v>432</v>
      </c>
      <c r="D52" s="55" t="s">
        <v>438</v>
      </c>
      <c r="E52" s="55" t="s">
        <v>439</v>
      </c>
      <c r="F52" s="5" t="s">
        <v>440</v>
      </c>
    </row>
    <row r="53" spans="1:6" ht="24.6" customHeight="1" x14ac:dyDescent="0.3">
      <c r="A53" s="54" t="s">
        <v>346</v>
      </c>
      <c r="B53" s="54" t="s">
        <v>308</v>
      </c>
      <c r="C53" s="55" t="s">
        <v>432</v>
      </c>
      <c r="D53" s="55" t="s">
        <v>441</v>
      </c>
      <c r="E53" s="55" t="s">
        <v>439</v>
      </c>
      <c r="F53" s="5" t="s">
        <v>440</v>
      </c>
    </row>
    <row r="54" spans="1:6" ht="15" customHeight="1" x14ac:dyDescent="0.3">
      <c r="A54" s="54" t="s">
        <v>346</v>
      </c>
      <c r="B54" s="54" t="s">
        <v>308</v>
      </c>
      <c r="C54" s="55" t="s">
        <v>442</v>
      </c>
      <c r="D54" s="55" t="s">
        <v>443</v>
      </c>
      <c r="E54" s="55" t="s">
        <v>444</v>
      </c>
      <c r="F54" s="56" t="s">
        <v>445</v>
      </c>
    </row>
    <row r="55" spans="1:6" ht="15" customHeight="1" x14ac:dyDescent="0.3">
      <c r="A55" s="54" t="s">
        <v>346</v>
      </c>
      <c r="B55" s="54" t="s">
        <v>308</v>
      </c>
      <c r="C55" s="55" t="s">
        <v>442</v>
      </c>
      <c r="D55" s="55" t="s">
        <v>446</v>
      </c>
      <c r="E55" s="55" t="s">
        <v>444</v>
      </c>
      <c r="F55" s="56" t="s">
        <v>447</v>
      </c>
    </row>
    <row r="56" spans="1:6" ht="15" customHeight="1" x14ac:dyDescent="0.3">
      <c r="A56" s="54" t="s">
        <v>346</v>
      </c>
      <c r="B56" s="54" t="s">
        <v>308</v>
      </c>
      <c r="C56" s="55" t="s">
        <v>442</v>
      </c>
      <c r="D56" s="55" t="s">
        <v>448</v>
      </c>
      <c r="E56" s="55" t="s">
        <v>444</v>
      </c>
      <c r="F56" s="56" t="s">
        <v>445</v>
      </c>
    </row>
    <row r="57" spans="1:6" ht="15" customHeight="1" x14ac:dyDescent="0.3">
      <c r="A57" s="54" t="s">
        <v>346</v>
      </c>
      <c r="B57" s="54" t="s">
        <v>308</v>
      </c>
      <c r="C57" s="55" t="s">
        <v>442</v>
      </c>
      <c r="D57" s="55" t="s">
        <v>449</v>
      </c>
      <c r="E57" s="55" t="s">
        <v>444</v>
      </c>
      <c r="F57" s="56" t="s">
        <v>450</v>
      </c>
    </row>
    <row r="58" spans="1:6" ht="15" customHeight="1" x14ac:dyDescent="0.3">
      <c r="A58" s="54" t="s">
        <v>346</v>
      </c>
      <c r="B58" s="54" t="s">
        <v>308</v>
      </c>
      <c r="C58" s="55" t="s">
        <v>442</v>
      </c>
      <c r="D58" s="55" t="s">
        <v>451</v>
      </c>
      <c r="E58" s="55" t="s">
        <v>444</v>
      </c>
      <c r="F58" s="56" t="s">
        <v>452</v>
      </c>
    </row>
    <row r="59" spans="1:6" ht="15" customHeight="1" x14ac:dyDescent="0.3">
      <c r="A59" s="54" t="s">
        <v>346</v>
      </c>
      <c r="B59" s="54" t="s">
        <v>308</v>
      </c>
      <c r="C59" s="55" t="s">
        <v>442</v>
      </c>
      <c r="D59" s="55" t="s">
        <v>453</v>
      </c>
      <c r="E59" s="55" t="s">
        <v>444</v>
      </c>
      <c r="F59" s="56" t="s">
        <v>452</v>
      </c>
    </row>
    <row r="60" spans="1:6" ht="18.600000000000001" customHeight="1" x14ac:dyDescent="0.3">
      <c r="A60" s="54" t="s">
        <v>346</v>
      </c>
      <c r="B60" s="54" t="s">
        <v>308</v>
      </c>
      <c r="C60" s="55" t="s">
        <v>454</v>
      </c>
      <c r="D60" s="55">
        <v>1123</v>
      </c>
      <c r="E60" s="55" t="s">
        <v>455</v>
      </c>
      <c r="F60" s="56" t="s">
        <v>456</v>
      </c>
    </row>
    <row r="61" spans="1:6" ht="15" customHeight="1" x14ac:dyDescent="0.3">
      <c r="A61" s="54" t="s">
        <v>346</v>
      </c>
      <c r="B61" s="54" t="s">
        <v>308</v>
      </c>
      <c r="C61" s="55" t="s">
        <v>454</v>
      </c>
      <c r="D61" s="55">
        <v>1124</v>
      </c>
      <c r="E61" s="55" t="s">
        <v>455</v>
      </c>
      <c r="F61" s="56" t="s">
        <v>456</v>
      </c>
    </row>
    <row r="62" spans="1:6" ht="15" customHeight="1" x14ac:dyDescent="0.3">
      <c r="A62" s="54" t="s">
        <v>346</v>
      </c>
      <c r="B62" s="54" t="s">
        <v>308</v>
      </c>
      <c r="C62" s="55" t="s">
        <v>454</v>
      </c>
      <c r="D62" s="55" t="s">
        <v>457</v>
      </c>
      <c r="E62" s="55" t="s">
        <v>455</v>
      </c>
      <c r="F62" s="56" t="s">
        <v>456</v>
      </c>
    </row>
    <row r="63" spans="1:6" ht="24" customHeight="1" x14ac:dyDescent="0.3">
      <c r="A63" s="54" t="s">
        <v>346</v>
      </c>
      <c r="B63" s="54" t="s">
        <v>308</v>
      </c>
      <c r="C63" s="59" t="s">
        <v>458</v>
      </c>
      <c r="D63" s="59">
        <v>340</v>
      </c>
      <c r="E63" s="55" t="s">
        <v>459</v>
      </c>
      <c r="F63" s="56" t="s">
        <v>460</v>
      </c>
    </row>
    <row r="64" spans="1:6" ht="28.8" x14ac:dyDescent="0.3">
      <c r="A64" s="54" t="s">
        <v>346</v>
      </c>
      <c r="B64" s="54" t="s">
        <v>308</v>
      </c>
      <c r="C64" s="59" t="s">
        <v>458</v>
      </c>
      <c r="D64" s="59">
        <v>440</v>
      </c>
      <c r="E64" s="55" t="s">
        <v>459</v>
      </c>
      <c r="F64" s="56" t="s">
        <v>461</v>
      </c>
    </row>
    <row r="65" spans="1:7" x14ac:dyDescent="0.3">
      <c r="A65" s="54" t="s">
        <v>346</v>
      </c>
      <c r="B65" s="54" t="s">
        <v>308</v>
      </c>
      <c r="C65" s="55" t="s">
        <v>462</v>
      </c>
      <c r="D65" s="55">
        <v>23</v>
      </c>
      <c r="E65" s="55" t="s">
        <v>463</v>
      </c>
      <c r="F65" s="56" t="s">
        <v>464</v>
      </c>
    </row>
    <row r="66" spans="1:7" ht="72" customHeight="1" x14ac:dyDescent="0.3">
      <c r="A66" s="54" t="s">
        <v>346</v>
      </c>
      <c r="B66" s="54" t="s">
        <v>308</v>
      </c>
      <c r="C66" s="55" t="s">
        <v>462</v>
      </c>
      <c r="D66" s="55" t="s">
        <v>465</v>
      </c>
      <c r="E66" s="55" t="s">
        <v>466</v>
      </c>
      <c r="F66" s="56" t="s">
        <v>464</v>
      </c>
    </row>
    <row r="67" spans="1:7" ht="48" customHeight="1" x14ac:dyDescent="0.3">
      <c r="A67" s="54" t="s">
        <v>346</v>
      </c>
      <c r="B67" s="54" t="s">
        <v>308</v>
      </c>
      <c r="C67" s="55" t="s">
        <v>462</v>
      </c>
      <c r="D67" s="55" t="s">
        <v>467</v>
      </c>
      <c r="E67" s="55" t="s">
        <v>466</v>
      </c>
      <c r="F67" s="56" t="s">
        <v>468</v>
      </c>
    </row>
    <row r="68" spans="1:7" ht="48" customHeight="1" x14ac:dyDescent="0.3">
      <c r="A68" s="54" t="s">
        <v>346</v>
      </c>
      <c r="B68" s="54" t="s">
        <v>308</v>
      </c>
      <c r="C68" s="55" t="s">
        <v>462</v>
      </c>
      <c r="D68" s="55" t="s">
        <v>469</v>
      </c>
      <c r="E68" s="55" t="s">
        <v>466</v>
      </c>
      <c r="F68" s="56" t="s">
        <v>470</v>
      </c>
    </row>
    <row r="69" spans="1:7" ht="24" customHeight="1" x14ac:dyDescent="0.3">
      <c r="A69" s="54" t="s">
        <v>346</v>
      </c>
      <c r="B69" s="54" t="s">
        <v>308</v>
      </c>
      <c r="C69" s="55" t="s">
        <v>462</v>
      </c>
      <c r="D69" s="55" t="s">
        <v>471</v>
      </c>
      <c r="E69" s="55" t="s">
        <v>466</v>
      </c>
      <c r="F69" s="56" t="s">
        <v>472</v>
      </c>
    </row>
    <row r="70" spans="1:7" ht="24" customHeight="1" x14ac:dyDescent="0.3">
      <c r="A70" s="54" t="s">
        <v>346</v>
      </c>
      <c r="B70" s="54" t="s">
        <v>308</v>
      </c>
      <c r="C70" s="55" t="s">
        <v>462</v>
      </c>
      <c r="D70" s="55" t="s">
        <v>473</v>
      </c>
      <c r="E70" s="55" t="s">
        <v>466</v>
      </c>
      <c r="F70" s="56" t="s">
        <v>472</v>
      </c>
    </row>
    <row r="71" spans="1:7" ht="24" customHeight="1" x14ac:dyDescent="0.3">
      <c r="A71" s="54" t="s">
        <v>346</v>
      </c>
      <c r="B71" s="54" t="s">
        <v>308</v>
      </c>
      <c r="C71" s="55" t="s">
        <v>462</v>
      </c>
      <c r="D71" s="55" t="s">
        <v>474</v>
      </c>
      <c r="E71" s="55" t="s">
        <v>466</v>
      </c>
      <c r="F71" s="56" t="s">
        <v>475</v>
      </c>
    </row>
    <row r="72" spans="1:7" ht="15" customHeight="1" x14ac:dyDescent="0.3">
      <c r="A72" s="54" t="s">
        <v>346</v>
      </c>
      <c r="B72" s="54" t="s">
        <v>308</v>
      </c>
      <c r="C72" s="55" t="s">
        <v>462</v>
      </c>
      <c r="D72" s="55">
        <v>60</v>
      </c>
      <c r="E72" s="55" t="s">
        <v>466</v>
      </c>
      <c r="F72" s="5" t="s">
        <v>476</v>
      </c>
      <c r="G72" s="5">
        <v>541</v>
      </c>
    </row>
    <row r="73" spans="1:7" x14ac:dyDescent="0.3">
      <c r="A73" s="54" t="s">
        <v>346</v>
      </c>
      <c r="B73" s="54" t="s">
        <v>308</v>
      </c>
      <c r="C73" s="55" t="s">
        <v>462</v>
      </c>
      <c r="D73" s="55" t="s">
        <v>477</v>
      </c>
      <c r="E73" s="55" t="s">
        <v>478</v>
      </c>
      <c r="F73" s="56" t="s">
        <v>479</v>
      </c>
    </row>
    <row r="74" spans="1:7" x14ac:dyDescent="0.3">
      <c r="A74" s="54" t="s">
        <v>346</v>
      </c>
      <c r="B74" s="54" t="s">
        <v>308</v>
      </c>
      <c r="C74" s="55" t="s">
        <v>462</v>
      </c>
      <c r="D74" s="55" t="s">
        <v>480</v>
      </c>
      <c r="E74" s="55" t="s">
        <v>478</v>
      </c>
      <c r="F74" s="56" t="s">
        <v>481</v>
      </c>
    </row>
    <row r="75" spans="1:7" x14ac:dyDescent="0.3">
      <c r="A75" s="54" t="s">
        <v>346</v>
      </c>
      <c r="B75" s="54" t="s">
        <v>308</v>
      </c>
      <c r="C75" s="55" t="s">
        <v>462</v>
      </c>
      <c r="D75" s="55" t="s">
        <v>482</v>
      </c>
      <c r="E75" s="55" t="s">
        <v>478</v>
      </c>
      <c r="F75" s="56" t="s">
        <v>483</v>
      </c>
    </row>
    <row r="76" spans="1:7" x14ac:dyDescent="0.3">
      <c r="A76" s="54" t="s">
        <v>346</v>
      </c>
      <c r="B76" s="54" t="s">
        <v>308</v>
      </c>
      <c r="C76" s="55" t="s">
        <v>462</v>
      </c>
      <c r="D76" s="55" t="s">
        <v>484</v>
      </c>
      <c r="E76" s="55" t="s">
        <v>478</v>
      </c>
      <c r="F76" s="56" t="s">
        <v>485</v>
      </c>
    </row>
    <row r="77" spans="1:7" ht="15" customHeight="1" x14ac:dyDescent="0.3">
      <c r="A77" s="54" t="s">
        <v>346</v>
      </c>
      <c r="B77" s="54" t="s">
        <v>308</v>
      </c>
      <c r="C77" s="55" t="s">
        <v>486</v>
      </c>
      <c r="D77" s="55" t="s">
        <v>487</v>
      </c>
      <c r="E77" s="55" t="s">
        <v>488</v>
      </c>
      <c r="F77" s="56" t="s">
        <v>489</v>
      </c>
    </row>
    <row r="78" spans="1:7" ht="15" customHeight="1" x14ac:dyDescent="0.3">
      <c r="A78" s="54" t="s">
        <v>346</v>
      </c>
      <c r="B78" s="54" t="s">
        <v>308</v>
      </c>
      <c r="C78" s="55" t="s">
        <v>486</v>
      </c>
      <c r="D78" s="55" t="s">
        <v>490</v>
      </c>
      <c r="E78" s="55" t="s">
        <v>488</v>
      </c>
      <c r="F78" s="56" t="s">
        <v>489</v>
      </c>
    </row>
    <row r="79" spans="1:7" ht="15" customHeight="1" x14ac:dyDescent="0.3">
      <c r="A79" s="54" t="s">
        <v>346</v>
      </c>
      <c r="B79" s="54" t="s">
        <v>308</v>
      </c>
      <c r="C79" s="55" t="s">
        <v>486</v>
      </c>
      <c r="D79" s="55" t="s">
        <v>491</v>
      </c>
      <c r="E79" s="55" t="s">
        <v>488</v>
      </c>
      <c r="F79" s="56" t="s">
        <v>489</v>
      </c>
    </row>
    <row r="80" spans="1:7" ht="15" customHeight="1" x14ac:dyDescent="0.3">
      <c r="A80" s="54" t="s">
        <v>346</v>
      </c>
      <c r="B80" s="54" t="s">
        <v>308</v>
      </c>
      <c r="C80" s="55" t="s">
        <v>486</v>
      </c>
      <c r="D80" s="55" t="s">
        <v>492</v>
      </c>
      <c r="E80" s="55" t="s">
        <v>488</v>
      </c>
      <c r="F80" s="56" t="s">
        <v>489</v>
      </c>
    </row>
    <row r="81" spans="1:7" ht="15" customHeight="1" x14ac:dyDescent="0.3">
      <c r="A81" s="54" t="s">
        <v>346</v>
      </c>
      <c r="B81" s="54" t="s">
        <v>308</v>
      </c>
      <c r="C81" s="61" t="s">
        <v>493</v>
      </c>
      <c r="D81" s="5">
        <v>340</v>
      </c>
      <c r="F81" s="5" t="s">
        <v>494</v>
      </c>
    </row>
    <row r="82" spans="1:7" ht="15" customHeight="1" x14ac:dyDescent="0.3">
      <c r="A82" s="54" t="s">
        <v>346</v>
      </c>
      <c r="B82" s="54" t="s">
        <v>308</v>
      </c>
      <c r="C82" s="55" t="s">
        <v>495</v>
      </c>
      <c r="D82" s="55" t="s">
        <v>496</v>
      </c>
      <c r="E82" s="55" t="s">
        <v>497</v>
      </c>
      <c r="F82" s="56" t="s">
        <v>498</v>
      </c>
    </row>
    <row r="83" spans="1:7" ht="15" customHeight="1" x14ac:dyDescent="0.3">
      <c r="A83" s="54" t="s">
        <v>346</v>
      </c>
      <c r="B83" s="54" t="s">
        <v>308</v>
      </c>
      <c r="C83" s="55" t="s">
        <v>495</v>
      </c>
      <c r="D83" s="55" t="s">
        <v>499</v>
      </c>
      <c r="E83" s="55" t="s">
        <v>497</v>
      </c>
      <c r="F83" s="56" t="s">
        <v>498</v>
      </c>
    </row>
    <row r="84" spans="1:7" ht="15" customHeight="1" x14ac:dyDescent="0.3">
      <c r="A84" s="54" t="s">
        <v>346</v>
      </c>
      <c r="B84" s="54" t="s">
        <v>308</v>
      </c>
      <c r="C84" s="55" t="s">
        <v>495</v>
      </c>
      <c r="D84" s="55" t="s">
        <v>500</v>
      </c>
      <c r="E84" s="55" t="s">
        <v>497</v>
      </c>
      <c r="F84" s="56" t="s">
        <v>498</v>
      </c>
    </row>
    <row r="85" spans="1:7" ht="15" customHeight="1" x14ac:dyDescent="0.3">
      <c r="A85" s="54" t="s">
        <v>346</v>
      </c>
      <c r="B85" s="54" t="s">
        <v>308</v>
      </c>
      <c r="C85" s="55" t="s">
        <v>501</v>
      </c>
      <c r="D85" s="55" t="s">
        <v>502</v>
      </c>
      <c r="E85" s="55" t="s">
        <v>503</v>
      </c>
      <c r="F85" s="62" t="s">
        <v>504</v>
      </c>
    </row>
    <row r="86" spans="1:7" ht="15" customHeight="1" x14ac:dyDescent="0.3">
      <c r="A86" s="54" t="s">
        <v>346</v>
      </c>
      <c r="B86" s="54" t="s">
        <v>308</v>
      </c>
      <c r="C86" s="55" t="s">
        <v>501</v>
      </c>
      <c r="D86" s="55" t="s">
        <v>505</v>
      </c>
      <c r="E86" s="55" t="s">
        <v>503</v>
      </c>
      <c r="F86" s="62" t="s">
        <v>506</v>
      </c>
    </row>
    <row r="87" spans="1:7" ht="24" customHeight="1" x14ac:dyDescent="0.3">
      <c r="A87" s="54" t="s">
        <v>346</v>
      </c>
      <c r="B87" s="54" t="s">
        <v>308</v>
      </c>
      <c r="C87" s="55" t="s">
        <v>501</v>
      </c>
      <c r="D87" s="59" t="s">
        <v>507</v>
      </c>
      <c r="E87" s="55" t="s">
        <v>503</v>
      </c>
      <c r="F87" s="62" t="s">
        <v>504</v>
      </c>
    </row>
    <row r="88" spans="1:7" ht="24.6" customHeight="1" x14ac:dyDescent="0.3">
      <c r="A88" s="54" t="s">
        <v>346</v>
      </c>
      <c r="B88" s="54" t="s">
        <v>308</v>
      </c>
      <c r="C88" s="55" t="s">
        <v>501</v>
      </c>
      <c r="D88" s="59" t="s">
        <v>508</v>
      </c>
      <c r="E88" s="55" t="s">
        <v>503</v>
      </c>
      <c r="F88" s="62" t="s">
        <v>506</v>
      </c>
    </row>
    <row r="89" spans="1:7" ht="15" customHeight="1" x14ac:dyDescent="0.3">
      <c r="A89" s="54" t="s">
        <v>346</v>
      </c>
      <c r="B89" s="54" t="s">
        <v>308</v>
      </c>
      <c r="C89" s="55" t="s">
        <v>509</v>
      </c>
      <c r="D89" s="55" t="s">
        <v>510</v>
      </c>
      <c r="E89" s="55" t="s">
        <v>511</v>
      </c>
      <c r="F89" s="62" t="s">
        <v>512</v>
      </c>
    </row>
    <row r="90" spans="1:7" ht="15" customHeight="1" x14ac:dyDescent="0.3">
      <c r="A90" s="54" t="s">
        <v>346</v>
      </c>
      <c r="B90" s="54" t="s">
        <v>308</v>
      </c>
      <c r="C90" s="55" t="s">
        <v>509</v>
      </c>
      <c r="D90" s="55">
        <v>500</v>
      </c>
      <c r="E90" s="55" t="s">
        <v>513</v>
      </c>
      <c r="F90" s="62" t="s">
        <v>514</v>
      </c>
    </row>
    <row r="91" spans="1:7" ht="15" customHeight="1" x14ac:dyDescent="0.3">
      <c r="A91" s="54" t="s">
        <v>346</v>
      </c>
      <c r="B91" s="54" t="s">
        <v>308</v>
      </c>
      <c r="C91" s="55" t="s">
        <v>509</v>
      </c>
      <c r="D91" s="55">
        <v>550</v>
      </c>
      <c r="E91" s="55" t="s">
        <v>513</v>
      </c>
      <c r="F91" s="62" t="s">
        <v>515</v>
      </c>
    </row>
    <row r="92" spans="1:7" ht="15" customHeight="1" x14ac:dyDescent="0.3">
      <c r="A92" s="54" t="s">
        <v>346</v>
      </c>
      <c r="B92" s="54" t="s">
        <v>308</v>
      </c>
      <c r="C92" s="55" t="s">
        <v>509</v>
      </c>
      <c r="D92" s="55" t="s">
        <v>516</v>
      </c>
      <c r="E92" s="55" t="s">
        <v>513</v>
      </c>
      <c r="F92" s="62" t="s">
        <v>515</v>
      </c>
    </row>
    <row r="93" spans="1:7" ht="15" customHeight="1" x14ac:dyDescent="0.3">
      <c r="A93" s="54" t="s">
        <v>346</v>
      </c>
      <c r="B93" s="54" t="s">
        <v>308</v>
      </c>
      <c r="C93" s="55" t="s">
        <v>509</v>
      </c>
      <c r="D93" s="55">
        <v>552</v>
      </c>
      <c r="E93" s="55" t="s">
        <v>513</v>
      </c>
      <c r="F93" s="62" t="s">
        <v>515</v>
      </c>
    </row>
    <row r="94" spans="1:7" ht="15" customHeight="1" x14ac:dyDescent="0.3">
      <c r="A94" s="54" t="s">
        <v>346</v>
      </c>
      <c r="B94" s="54" t="s">
        <v>308</v>
      </c>
      <c r="C94" s="55" t="s">
        <v>509</v>
      </c>
      <c r="D94" s="55">
        <v>560</v>
      </c>
      <c r="E94" s="55" t="s">
        <v>513</v>
      </c>
      <c r="F94" s="62" t="s">
        <v>517</v>
      </c>
    </row>
    <row r="95" spans="1:7" ht="15" customHeight="1" x14ac:dyDescent="0.3">
      <c r="A95" s="54" t="s">
        <v>346</v>
      </c>
      <c r="B95" s="54" t="s">
        <v>308</v>
      </c>
      <c r="C95" s="55" t="s">
        <v>509</v>
      </c>
      <c r="D95" s="55" t="s">
        <v>518</v>
      </c>
      <c r="E95" s="55" t="s">
        <v>513</v>
      </c>
      <c r="F95" s="5" t="s">
        <v>519</v>
      </c>
      <c r="G95" s="5">
        <v>441</v>
      </c>
    </row>
    <row r="96" spans="1:7" ht="15" customHeight="1" x14ac:dyDescent="0.3">
      <c r="A96" s="54" t="s">
        <v>346</v>
      </c>
      <c r="B96" s="54" t="s">
        <v>308</v>
      </c>
      <c r="C96" s="55" t="s">
        <v>509</v>
      </c>
      <c r="D96" s="55">
        <v>750</v>
      </c>
      <c r="E96" s="55" t="s">
        <v>520</v>
      </c>
      <c r="F96" s="5" t="s">
        <v>521</v>
      </c>
    </row>
    <row r="97" spans="1:7" ht="127.8" customHeight="1" x14ac:dyDescent="0.3">
      <c r="A97" s="54" t="s">
        <v>522</v>
      </c>
      <c r="B97" s="54" t="s">
        <v>308</v>
      </c>
      <c r="C97" s="55" t="s">
        <v>353</v>
      </c>
      <c r="D97" s="55" t="s">
        <v>523</v>
      </c>
      <c r="E97" s="55" t="s">
        <v>524</v>
      </c>
      <c r="F97" s="5" t="s">
        <v>525</v>
      </c>
      <c r="G97" s="5">
        <v>294</v>
      </c>
    </row>
    <row r="98" spans="1:7" ht="28.8" x14ac:dyDescent="0.3">
      <c r="A98" s="54" t="s">
        <v>522</v>
      </c>
      <c r="B98" s="54" t="s">
        <v>308</v>
      </c>
      <c r="C98" s="55" t="s">
        <v>353</v>
      </c>
      <c r="D98" s="55" t="s">
        <v>526</v>
      </c>
      <c r="E98" s="55" t="s">
        <v>524</v>
      </c>
      <c r="F98" s="5" t="s">
        <v>527</v>
      </c>
      <c r="G98" s="5">
        <v>313</v>
      </c>
    </row>
    <row r="99" spans="1:7" x14ac:dyDescent="0.3">
      <c r="A99" s="54" t="s">
        <v>522</v>
      </c>
      <c r="B99" s="54" t="s">
        <v>308</v>
      </c>
      <c r="C99" s="55" t="s">
        <v>353</v>
      </c>
      <c r="D99" s="55" t="s">
        <v>528</v>
      </c>
      <c r="E99" s="55" t="s">
        <v>524</v>
      </c>
      <c r="F99" s="5" t="s">
        <v>529</v>
      </c>
    </row>
    <row r="100" spans="1:7" ht="28.8" x14ac:dyDescent="0.3">
      <c r="A100" s="54" t="s">
        <v>522</v>
      </c>
      <c r="B100" s="54" t="s">
        <v>308</v>
      </c>
      <c r="C100" s="55" t="s">
        <v>353</v>
      </c>
      <c r="D100" s="55" t="s">
        <v>530</v>
      </c>
      <c r="E100" s="55" t="s">
        <v>531</v>
      </c>
      <c r="F100" s="5" t="s">
        <v>532</v>
      </c>
      <c r="G100" s="5">
        <v>265</v>
      </c>
    </row>
    <row r="101" spans="1:7" x14ac:dyDescent="0.3">
      <c r="A101" s="54" t="s">
        <v>522</v>
      </c>
      <c r="B101" s="54" t="s">
        <v>308</v>
      </c>
      <c r="C101" s="55" t="s">
        <v>353</v>
      </c>
      <c r="D101" s="55" t="s">
        <v>533</v>
      </c>
      <c r="E101" s="55" t="s">
        <v>534</v>
      </c>
      <c r="F101" s="5" t="s">
        <v>535</v>
      </c>
      <c r="G101" s="5">
        <v>461</v>
      </c>
    </row>
    <row r="102" spans="1:7" ht="14.4" customHeight="1" x14ac:dyDescent="0.3">
      <c r="A102" s="54" t="s">
        <v>522</v>
      </c>
      <c r="B102" s="54" t="s">
        <v>308</v>
      </c>
      <c r="C102" s="55" t="s">
        <v>509</v>
      </c>
      <c r="D102" s="59" t="s">
        <v>536</v>
      </c>
      <c r="E102" s="55" t="s">
        <v>537</v>
      </c>
      <c r="F102" s="5" t="s">
        <v>538</v>
      </c>
      <c r="G102" s="5">
        <v>389</v>
      </c>
    </row>
    <row r="103" spans="1:7" ht="28.8" x14ac:dyDescent="0.3">
      <c r="A103" s="54" t="s">
        <v>522</v>
      </c>
      <c r="B103" s="54" t="s">
        <v>308</v>
      </c>
      <c r="C103" s="55" t="s">
        <v>509</v>
      </c>
      <c r="D103" s="59" t="s">
        <v>539</v>
      </c>
      <c r="E103" s="55" t="s">
        <v>537</v>
      </c>
      <c r="F103" s="5" t="s">
        <v>540</v>
      </c>
    </row>
    <row r="104" spans="1:7" ht="14.4" customHeight="1" x14ac:dyDescent="0.3">
      <c r="A104" s="54" t="s">
        <v>522</v>
      </c>
      <c r="B104" s="54" t="s">
        <v>308</v>
      </c>
      <c r="C104" s="55" t="s">
        <v>509</v>
      </c>
      <c r="D104" s="59" t="s">
        <v>541</v>
      </c>
      <c r="E104" s="55" t="s">
        <v>537</v>
      </c>
      <c r="F104" s="5" t="s">
        <v>542</v>
      </c>
    </row>
    <row r="105" spans="1:7" ht="28.8" x14ac:dyDescent="0.3">
      <c r="A105" s="54" t="s">
        <v>522</v>
      </c>
      <c r="B105" s="54" t="s">
        <v>308</v>
      </c>
      <c r="C105" s="55" t="s">
        <v>509</v>
      </c>
      <c r="D105" s="59" t="s">
        <v>543</v>
      </c>
      <c r="E105" s="55" t="s">
        <v>537</v>
      </c>
      <c r="F105" s="5" t="s">
        <v>544</v>
      </c>
      <c r="G105" s="5">
        <v>451</v>
      </c>
    </row>
    <row r="106" spans="1:7" ht="28.8" x14ac:dyDescent="0.3">
      <c r="A106" s="54" t="s">
        <v>522</v>
      </c>
      <c r="B106" s="54" t="s">
        <v>308</v>
      </c>
      <c r="C106" s="55" t="s">
        <v>509</v>
      </c>
      <c r="D106" s="55">
        <v>501</v>
      </c>
      <c r="E106" s="55" t="s">
        <v>545</v>
      </c>
      <c r="F106" s="62" t="s">
        <v>514</v>
      </c>
    </row>
    <row r="107" spans="1:7" ht="28.8" x14ac:dyDescent="0.3">
      <c r="A107" s="54" t="s">
        <v>522</v>
      </c>
      <c r="B107" s="54" t="s">
        <v>308</v>
      </c>
      <c r="C107" s="55" t="s">
        <v>509</v>
      </c>
      <c r="D107" s="55">
        <v>551</v>
      </c>
      <c r="E107" s="55" t="s">
        <v>545</v>
      </c>
      <c r="F107" s="62" t="s">
        <v>515</v>
      </c>
    </row>
    <row r="108" spans="1:7" ht="28.8" x14ac:dyDescent="0.3">
      <c r="A108" s="54" t="s">
        <v>522</v>
      </c>
      <c r="B108" s="54" t="s">
        <v>308</v>
      </c>
      <c r="C108" s="55" t="s">
        <v>546</v>
      </c>
      <c r="D108" s="55" t="s">
        <v>547</v>
      </c>
      <c r="E108" s="55" t="s">
        <v>548</v>
      </c>
      <c r="F108" s="5" t="s">
        <v>549</v>
      </c>
    </row>
    <row r="109" spans="1:7" x14ac:dyDescent="0.3">
      <c r="A109" s="54" t="s">
        <v>522</v>
      </c>
      <c r="B109" s="54" t="s">
        <v>308</v>
      </c>
      <c r="C109" s="55" t="s">
        <v>550</v>
      </c>
      <c r="D109" s="55" t="s">
        <v>551</v>
      </c>
      <c r="E109" s="55" t="s">
        <v>552</v>
      </c>
      <c r="F109" s="5" t="s">
        <v>553</v>
      </c>
      <c r="G109" s="5">
        <v>398</v>
      </c>
    </row>
    <row r="110" spans="1:7" ht="28.8" x14ac:dyDescent="0.3">
      <c r="A110" s="54" t="s">
        <v>522</v>
      </c>
      <c r="B110" s="54" t="s">
        <v>308</v>
      </c>
      <c r="C110" s="55" t="s">
        <v>554</v>
      </c>
      <c r="D110" s="59" t="s">
        <v>555</v>
      </c>
      <c r="E110" s="55" t="s">
        <v>556</v>
      </c>
      <c r="F110" s="5" t="s">
        <v>557</v>
      </c>
    </row>
    <row r="111" spans="1:7" ht="43.2" x14ac:dyDescent="0.3">
      <c r="A111" s="54" t="s">
        <v>522</v>
      </c>
      <c r="B111" s="54" t="s">
        <v>308</v>
      </c>
      <c r="C111" s="55" t="s">
        <v>558</v>
      </c>
      <c r="D111" s="55" t="s">
        <v>559</v>
      </c>
      <c r="E111" s="55" t="s">
        <v>560</v>
      </c>
      <c r="F111" s="5" t="s">
        <v>561</v>
      </c>
    </row>
    <row r="112" spans="1:7" ht="28.8" x14ac:dyDescent="0.3">
      <c r="A112" s="54" t="s">
        <v>522</v>
      </c>
      <c r="B112" s="54" t="s">
        <v>308</v>
      </c>
      <c r="C112" s="55" t="s">
        <v>558</v>
      </c>
      <c r="D112" s="55" t="s">
        <v>562</v>
      </c>
      <c r="E112" s="55" t="s">
        <v>563</v>
      </c>
      <c r="F112" s="5" t="s">
        <v>564</v>
      </c>
    </row>
    <row r="113" spans="1:6" ht="15" customHeight="1" x14ac:dyDescent="0.3">
      <c r="A113" s="54" t="s">
        <v>346</v>
      </c>
      <c r="B113" s="54" t="s">
        <v>565</v>
      </c>
      <c r="C113" s="55" t="s">
        <v>353</v>
      </c>
      <c r="D113" s="55" t="s">
        <v>365</v>
      </c>
      <c r="E113" s="55" t="s">
        <v>362</v>
      </c>
      <c r="F113" s="5" t="s">
        <v>363</v>
      </c>
    </row>
    <row r="114" spans="1:6" ht="15" customHeight="1" x14ac:dyDescent="0.3">
      <c r="A114" s="54" t="s">
        <v>346</v>
      </c>
      <c r="B114" s="54" t="s">
        <v>565</v>
      </c>
      <c r="C114" s="55" t="s">
        <v>353</v>
      </c>
      <c r="D114" s="55" t="s">
        <v>366</v>
      </c>
      <c r="E114" s="55" t="s">
        <v>362</v>
      </c>
      <c r="F114" s="5" t="s">
        <v>363</v>
      </c>
    </row>
    <row r="115" spans="1:6" ht="15" customHeight="1" x14ac:dyDescent="0.3">
      <c r="A115" s="54" t="s">
        <v>346</v>
      </c>
      <c r="B115" s="54" t="s">
        <v>565</v>
      </c>
      <c r="C115" s="55" t="s">
        <v>353</v>
      </c>
      <c r="D115" s="55" t="s">
        <v>566</v>
      </c>
      <c r="E115" s="55" t="s">
        <v>362</v>
      </c>
      <c r="F115" s="5" t="s">
        <v>363</v>
      </c>
    </row>
    <row r="116" spans="1:6" ht="15" customHeight="1" x14ac:dyDescent="0.3">
      <c r="A116" s="54" t="s">
        <v>346</v>
      </c>
      <c r="B116" s="54" t="s">
        <v>565</v>
      </c>
      <c r="C116" s="55" t="s">
        <v>353</v>
      </c>
      <c r="D116" s="55" t="s">
        <v>367</v>
      </c>
      <c r="E116" s="55" t="s">
        <v>362</v>
      </c>
      <c r="F116" s="5" t="s">
        <v>363</v>
      </c>
    </row>
    <row r="117" spans="1:6" ht="15" customHeight="1" x14ac:dyDescent="0.3">
      <c r="A117" s="54" t="s">
        <v>346</v>
      </c>
      <c r="B117" s="54" t="s">
        <v>565</v>
      </c>
      <c r="C117" s="55" t="s">
        <v>353</v>
      </c>
      <c r="D117" s="55" t="s">
        <v>567</v>
      </c>
      <c r="E117" s="55" t="s">
        <v>362</v>
      </c>
      <c r="F117" s="56" t="s">
        <v>568</v>
      </c>
    </row>
    <row r="118" spans="1:6" ht="15" customHeight="1" x14ac:dyDescent="0.3">
      <c r="A118" s="54" t="s">
        <v>346</v>
      </c>
      <c r="B118" s="54" t="s">
        <v>565</v>
      </c>
      <c r="C118" s="55" t="s">
        <v>353</v>
      </c>
      <c r="D118" s="55" t="s">
        <v>569</v>
      </c>
      <c r="E118" s="55" t="s">
        <v>362</v>
      </c>
      <c r="F118" s="56" t="s">
        <v>568</v>
      </c>
    </row>
    <row r="119" spans="1:6" ht="15" customHeight="1" x14ac:dyDescent="0.3">
      <c r="A119" s="54" t="s">
        <v>346</v>
      </c>
      <c r="B119" s="54" t="s">
        <v>565</v>
      </c>
      <c r="C119" s="55" t="s">
        <v>353</v>
      </c>
      <c r="D119" s="55" t="s">
        <v>570</v>
      </c>
      <c r="E119" s="55" t="s">
        <v>362</v>
      </c>
      <c r="F119" s="56" t="s">
        <v>568</v>
      </c>
    </row>
    <row r="120" spans="1:6" ht="28.8" x14ac:dyDescent="0.3">
      <c r="A120" s="54" t="s">
        <v>346</v>
      </c>
      <c r="B120" s="54" t="s">
        <v>565</v>
      </c>
      <c r="C120" s="55" t="s">
        <v>381</v>
      </c>
      <c r="D120" s="55" t="s">
        <v>571</v>
      </c>
      <c r="E120" s="55" t="s">
        <v>391</v>
      </c>
      <c r="F120" s="56" t="s">
        <v>572</v>
      </c>
    </row>
    <row r="121" spans="1:6" ht="14.4" customHeight="1" x14ac:dyDescent="0.3">
      <c r="A121" s="54" t="s">
        <v>346</v>
      </c>
      <c r="B121" s="54" t="s">
        <v>565</v>
      </c>
      <c r="C121" s="55" t="s">
        <v>381</v>
      </c>
      <c r="D121" s="55" t="s">
        <v>573</v>
      </c>
      <c r="E121" s="55" t="s">
        <v>574</v>
      </c>
      <c r="F121" s="56" t="s">
        <v>575</v>
      </c>
    </row>
    <row r="122" spans="1:6" ht="15" customHeight="1" x14ac:dyDescent="0.3">
      <c r="A122" s="54" t="s">
        <v>346</v>
      </c>
      <c r="B122" s="54" t="s">
        <v>565</v>
      </c>
      <c r="C122" s="55" t="s">
        <v>381</v>
      </c>
      <c r="D122" s="55" t="s">
        <v>576</v>
      </c>
      <c r="E122" s="55" t="s">
        <v>574</v>
      </c>
      <c r="F122" s="56" t="s">
        <v>577</v>
      </c>
    </row>
    <row r="123" spans="1:6" x14ac:dyDescent="0.3">
      <c r="A123" s="54" t="s">
        <v>346</v>
      </c>
      <c r="B123" s="54" t="s">
        <v>565</v>
      </c>
      <c r="C123" s="55" t="s">
        <v>408</v>
      </c>
      <c r="D123" s="55" t="s">
        <v>423</v>
      </c>
      <c r="E123" s="55" t="s">
        <v>419</v>
      </c>
      <c r="F123" s="56" t="s">
        <v>422</v>
      </c>
    </row>
    <row r="124" spans="1:6" ht="14.4" customHeight="1" x14ac:dyDescent="0.3">
      <c r="A124" s="54" t="s">
        <v>346</v>
      </c>
      <c r="B124" s="54" t="s">
        <v>565</v>
      </c>
      <c r="C124" s="55" t="s">
        <v>578</v>
      </c>
      <c r="D124" s="55" t="s">
        <v>579</v>
      </c>
      <c r="E124" s="55" t="s">
        <v>580</v>
      </c>
      <c r="F124" s="56" t="s">
        <v>581</v>
      </c>
    </row>
    <row r="125" spans="1:6" ht="14.4" customHeight="1" x14ac:dyDescent="0.3">
      <c r="A125" s="54" t="s">
        <v>346</v>
      </c>
      <c r="B125" s="54" t="s">
        <v>565</v>
      </c>
      <c r="C125" s="55" t="s">
        <v>578</v>
      </c>
      <c r="D125" s="55" t="s">
        <v>582</v>
      </c>
      <c r="E125" s="55" t="s">
        <v>580</v>
      </c>
      <c r="F125" s="56" t="s">
        <v>581</v>
      </c>
    </row>
    <row r="126" spans="1:6" ht="14.4" customHeight="1" x14ac:dyDescent="0.3">
      <c r="A126" s="54" t="s">
        <v>346</v>
      </c>
      <c r="B126" s="54" t="s">
        <v>565</v>
      </c>
      <c r="C126" s="55" t="s">
        <v>578</v>
      </c>
      <c r="D126" s="55" t="s">
        <v>583</v>
      </c>
      <c r="E126" s="55" t="s">
        <v>580</v>
      </c>
      <c r="F126" s="56" t="s">
        <v>581</v>
      </c>
    </row>
    <row r="127" spans="1:6" ht="14.4" customHeight="1" x14ac:dyDescent="0.3">
      <c r="A127" s="54" t="s">
        <v>346</v>
      </c>
      <c r="B127" s="54" t="s">
        <v>565</v>
      </c>
      <c r="C127" s="55" t="s">
        <v>578</v>
      </c>
      <c r="D127" s="55" t="s">
        <v>584</v>
      </c>
      <c r="E127" s="55" t="s">
        <v>580</v>
      </c>
      <c r="F127" s="56" t="s">
        <v>581</v>
      </c>
    </row>
    <row r="128" spans="1:6" ht="14.4" customHeight="1" x14ac:dyDescent="0.3">
      <c r="A128" s="54" t="s">
        <v>346</v>
      </c>
      <c r="B128" s="54" t="s">
        <v>565</v>
      </c>
      <c r="C128" s="55" t="s">
        <v>578</v>
      </c>
      <c r="D128" s="55" t="s">
        <v>585</v>
      </c>
      <c r="E128" s="55" t="s">
        <v>580</v>
      </c>
      <c r="F128" s="56" t="s">
        <v>586</v>
      </c>
    </row>
    <row r="129" spans="1:6" ht="14.4" customHeight="1" x14ac:dyDescent="0.3">
      <c r="A129" s="54" t="s">
        <v>346</v>
      </c>
      <c r="B129" s="54" t="s">
        <v>565</v>
      </c>
      <c r="C129" s="55" t="s">
        <v>578</v>
      </c>
      <c r="D129" s="55" t="s">
        <v>587</v>
      </c>
      <c r="E129" s="55" t="s">
        <v>580</v>
      </c>
      <c r="F129" s="56" t="s">
        <v>586</v>
      </c>
    </row>
    <row r="130" spans="1:6" ht="14.4" customHeight="1" x14ac:dyDescent="0.3">
      <c r="A130" s="54" t="s">
        <v>346</v>
      </c>
      <c r="B130" s="54" t="s">
        <v>565</v>
      </c>
      <c r="C130" s="55" t="s">
        <v>578</v>
      </c>
      <c r="D130" s="55" t="s">
        <v>588</v>
      </c>
      <c r="E130" s="55" t="s">
        <v>580</v>
      </c>
      <c r="F130" s="56" t="s">
        <v>586</v>
      </c>
    </row>
    <row r="131" spans="1:6" ht="14.4" customHeight="1" x14ac:dyDescent="0.3">
      <c r="A131" s="54" t="s">
        <v>346</v>
      </c>
      <c r="B131" s="54" t="s">
        <v>565</v>
      </c>
      <c r="C131" s="55" t="s">
        <v>578</v>
      </c>
      <c r="D131" s="55" t="s">
        <v>589</v>
      </c>
      <c r="E131" s="55" t="s">
        <v>580</v>
      </c>
      <c r="F131" s="56" t="s">
        <v>586</v>
      </c>
    </row>
    <row r="132" spans="1:6" ht="14.4" customHeight="1" x14ac:dyDescent="0.3">
      <c r="A132" s="54" t="s">
        <v>346</v>
      </c>
      <c r="B132" s="54" t="s">
        <v>565</v>
      </c>
      <c r="C132" s="55" t="s">
        <v>578</v>
      </c>
      <c r="D132" s="55" t="s">
        <v>590</v>
      </c>
      <c r="E132" s="55" t="s">
        <v>580</v>
      </c>
      <c r="F132" s="56" t="s">
        <v>586</v>
      </c>
    </row>
    <row r="133" spans="1:6" ht="14.4" customHeight="1" x14ac:dyDescent="0.3">
      <c r="A133" s="54" t="s">
        <v>346</v>
      </c>
      <c r="B133" s="54" t="s">
        <v>565</v>
      </c>
      <c r="C133" s="55" t="s">
        <v>578</v>
      </c>
      <c r="D133" s="55" t="s">
        <v>591</v>
      </c>
      <c r="E133" s="55" t="s">
        <v>580</v>
      </c>
      <c r="F133" s="56" t="s">
        <v>581</v>
      </c>
    </row>
    <row r="134" spans="1:6" ht="14.4" customHeight="1" x14ac:dyDescent="0.3">
      <c r="A134" s="54" t="s">
        <v>346</v>
      </c>
      <c r="B134" s="54" t="s">
        <v>565</v>
      </c>
      <c r="C134" s="55" t="s">
        <v>578</v>
      </c>
      <c r="D134" s="55" t="s">
        <v>592</v>
      </c>
      <c r="E134" s="55" t="s">
        <v>580</v>
      </c>
      <c r="F134" s="56" t="s">
        <v>581</v>
      </c>
    </row>
    <row r="135" spans="1:6" ht="15" customHeight="1" x14ac:dyDescent="0.3">
      <c r="A135" s="54" t="s">
        <v>346</v>
      </c>
      <c r="B135" s="54" t="s">
        <v>565</v>
      </c>
      <c r="C135" s="55" t="s">
        <v>578</v>
      </c>
      <c r="D135" s="55" t="s">
        <v>593</v>
      </c>
      <c r="E135" s="55" t="s">
        <v>580</v>
      </c>
      <c r="F135" s="56" t="s">
        <v>581</v>
      </c>
    </row>
    <row r="136" spans="1:6" ht="14.4" customHeight="1" x14ac:dyDescent="0.3">
      <c r="A136" s="54" t="s">
        <v>346</v>
      </c>
      <c r="B136" s="54" t="s">
        <v>565</v>
      </c>
      <c r="C136" s="55" t="s">
        <v>442</v>
      </c>
      <c r="D136" s="55" t="s">
        <v>449</v>
      </c>
      <c r="E136" s="55" t="s">
        <v>444</v>
      </c>
      <c r="F136" s="56" t="s">
        <v>450</v>
      </c>
    </row>
    <row r="137" spans="1:6" ht="14.4" customHeight="1" x14ac:dyDescent="0.3">
      <c r="A137" s="54" t="s">
        <v>346</v>
      </c>
      <c r="B137" s="54" t="s">
        <v>565</v>
      </c>
      <c r="C137" s="55" t="s">
        <v>442</v>
      </c>
      <c r="D137" s="55" t="s">
        <v>451</v>
      </c>
      <c r="E137" s="55" t="s">
        <v>444</v>
      </c>
      <c r="F137" s="56" t="s">
        <v>594</v>
      </c>
    </row>
    <row r="138" spans="1:6" ht="14.4" customHeight="1" x14ac:dyDescent="0.3">
      <c r="A138" s="54" t="s">
        <v>346</v>
      </c>
      <c r="B138" s="54" t="s">
        <v>565</v>
      </c>
      <c r="C138" s="55" t="s">
        <v>442</v>
      </c>
      <c r="D138" s="55" t="s">
        <v>453</v>
      </c>
      <c r="E138" s="55" t="s">
        <v>444</v>
      </c>
      <c r="F138" s="56" t="s">
        <v>452</v>
      </c>
    </row>
    <row r="139" spans="1:6" ht="15" customHeight="1" x14ac:dyDescent="0.3">
      <c r="A139" s="54" t="s">
        <v>346</v>
      </c>
      <c r="B139" s="54" t="s">
        <v>565</v>
      </c>
      <c r="C139" s="55" t="s">
        <v>442</v>
      </c>
      <c r="D139" s="55" t="s">
        <v>595</v>
      </c>
      <c r="E139" s="55" t="s">
        <v>444</v>
      </c>
      <c r="F139" s="56" t="s">
        <v>450</v>
      </c>
    </row>
    <row r="140" spans="1:6" x14ac:dyDescent="0.3">
      <c r="A140" s="54" t="s">
        <v>346</v>
      </c>
      <c r="B140" s="54" t="s">
        <v>565</v>
      </c>
      <c r="C140" s="55" t="s">
        <v>462</v>
      </c>
      <c r="D140" s="55" t="s">
        <v>477</v>
      </c>
      <c r="E140" s="55" t="s">
        <v>478</v>
      </c>
      <c r="F140" s="56" t="s">
        <v>479</v>
      </c>
    </row>
    <row r="141" spans="1:6" x14ac:dyDescent="0.3">
      <c r="A141" s="54" t="s">
        <v>346</v>
      </c>
      <c r="B141" s="54" t="s">
        <v>565</v>
      </c>
      <c r="C141" s="55" t="s">
        <v>462</v>
      </c>
      <c r="D141" s="55" t="s">
        <v>480</v>
      </c>
      <c r="E141" s="55" t="s">
        <v>478</v>
      </c>
      <c r="F141" s="56" t="s">
        <v>481</v>
      </c>
    </row>
    <row r="142" spans="1:6" x14ac:dyDescent="0.3">
      <c r="A142" s="54" t="s">
        <v>346</v>
      </c>
      <c r="B142" s="54" t="s">
        <v>565</v>
      </c>
      <c r="C142" s="55" t="s">
        <v>462</v>
      </c>
      <c r="D142" s="55" t="s">
        <v>482</v>
      </c>
      <c r="E142" s="55" t="s">
        <v>478</v>
      </c>
      <c r="F142" s="56" t="s">
        <v>483</v>
      </c>
    </row>
    <row r="143" spans="1:6" x14ac:dyDescent="0.3">
      <c r="A143" s="54" t="s">
        <v>346</v>
      </c>
      <c r="B143" s="54" t="s">
        <v>565</v>
      </c>
      <c r="C143" s="55" t="s">
        <v>462</v>
      </c>
      <c r="D143" s="55" t="s">
        <v>484</v>
      </c>
      <c r="E143" s="55" t="s">
        <v>478</v>
      </c>
      <c r="F143" s="56" t="s">
        <v>485</v>
      </c>
    </row>
    <row r="144" spans="1:6" x14ac:dyDescent="0.3">
      <c r="A144" s="54" t="s">
        <v>346</v>
      </c>
      <c r="B144" s="54" t="s">
        <v>565</v>
      </c>
      <c r="C144" s="61" t="s">
        <v>596</v>
      </c>
      <c r="D144" s="5">
        <v>328</v>
      </c>
      <c r="F144" s="5" t="s">
        <v>597</v>
      </c>
    </row>
    <row r="145" spans="1:6" ht="14.4" customHeight="1" x14ac:dyDescent="0.3">
      <c r="A145" s="54" t="s">
        <v>346</v>
      </c>
      <c r="B145" s="54" t="s">
        <v>565</v>
      </c>
      <c r="C145" s="55" t="s">
        <v>509</v>
      </c>
      <c r="D145" s="55" t="s">
        <v>598</v>
      </c>
      <c r="E145" s="55" t="s">
        <v>511</v>
      </c>
      <c r="F145" s="62" t="s">
        <v>512</v>
      </c>
    </row>
    <row r="146" spans="1:6" ht="15" customHeight="1" x14ac:dyDescent="0.3">
      <c r="A146" s="54" t="s">
        <v>346</v>
      </c>
      <c r="B146" s="54" t="s">
        <v>565</v>
      </c>
      <c r="C146" s="55" t="s">
        <v>509</v>
      </c>
      <c r="D146" s="55" t="s">
        <v>599</v>
      </c>
      <c r="E146" s="55" t="s">
        <v>513</v>
      </c>
      <c r="F146" s="62" t="s">
        <v>515</v>
      </c>
    </row>
    <row r="147" spans="1:6" ht="15" customHeight="1" x14ac:dyDescent="0.3">
      <c r="A147" s="54" t="s">
        <v>346</v>
      </c>
      <c r="B147" s="54" t="s">
        <v>565</v>
      </c>
      <c r="C147" s="55" t="s">
        <v>509</v>
      </c>
      <c r="D147" s="55" t="s">
        <v>600</v>
      </c>
      <c r="E147" s="55" t="s">
        <v>513</v>
      </c>
      <c r="F147" s="62" t="s">
        <v>515</v>
      </c>
    </row>
    <row r="148" spans="1:6" ht="15" customHeight="1" x14ac:dyDescent="0.3">
      <c r="A148" s="54" t="s">
        <v>346</v>
      </c>
      <c r="B148" s="54" t="s">
        <v>565</v>
      </c>
      <c r="C148" s="55" t="s">
        <v>509</v>
      </c>
      <c r="D148" s="55" t="s">
        <v>601</v>
      </c>
      <c r="E148" s="55" t="s">
        <v>513</v>
      </c>
      <c r="F148" s="62" t="s">
        <v>517</v>
      </c>
    </row>
    <row r="149" spans="1:6" ht="15" customHeight="1" x14ac:dyDescent="0.3">
      <c r="A149" s="54" t="s">
        <v>346</v>
      </c>
      <c r="B149" s="54" t="s">
        <v>565</v>
      </c>
      <c r="C149" s="55" t="s">
        <v>509</v>
      </c>
      <c r="D149" s="55" t="s">
        <v>602</v>
      </c>
      <c r="E149" s="55" t="s">
        <v>513</v>
      </c>
      <c r="F149" s="62" t="s">
        <v>603</v>
      </c>
    </row>
    <row r="150" spans="1:6" ht="28.8" x14ac:dyDescent="0.3">
      <c r="A150" s="54" t="s">
        <v>346</v>
      </c>
      <c r="B150" s="54" t="s">
        <v>565</v>
      </c>
      <c r="C150" s="55" t="s">
        <v>509</v>
      </c>
      <c r="D150" s="55">
        <v>750</v>
      </c>
      <c r="E150" s="55" t="s">
        <v>520</v>
      </c>
      <c r="F150" s="5" t="s">
        <v>521</v>
      </c>
    </row>
    <row r="152" spans="1:6" x14ac:dyDescent="0.3">
      <c r="A152" s="54"/>
      <c r="B152" s="54"/>
      <c r="C152" s="61"/>
    </row>
  </sheetData>
  <sheetProtection algorithmName="SHA-512" hashValue="T0a26f0D+MFKvWNfSf3IYqiFQs7UOSVtPl0fyQbOC6gd4iIJ049TB0PBoeVab5KboLWLGyuQJgeKRLR0O5P3OQ==" saltValue="cUyAF/Sdri89h9FyHgSimg==" spinCount="100000" sheet="1" objects="1" scenarios="1" autoFilter="0"/>
  <autoFilter ref="A1:G150"/>
  <mergeCells count="7">
    <mergeCell ref="G1:G2"/>
    <mergeCell ref="A1:A2"/>
    <mergeCell ref="B1:B2"/>
    <mergeCell ref="C1:C2"/>
    <mergeCell ref="D1:D2"/>
    <mergeCell ref="E1:E2"/>
    <mergeCell ref="F1: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RowHeight="14.4" x14ac:dyDescent="0.3"/>
  <cols>
    <col min="1" max="1" width="8.88671875" style="6"/>
    <col min="2" max="2" width="19.21875" style="6" customWidth="1"/>
    <col min="3" max="3" width="58.33203125" customWidth="1"/>
  </cols>
  <sheetData>
    <row r="1" spans="1:3" x14ac:dyDescent="0.3">
      <c r="A1" s="104" t="s">
        <v>614</v>
      </c>
    </row>
    <row r="3" spans="1:3" x14ac:dyDescent="0.3">
      <c r="A3" s="1" t="s">
        <v>610</v>
      </c>
      <c r="B3" s="1" t="s">
        <v>611</v>
      </c>
      <c r="C3" s="1" t="s">
        <v>612</v>
      </c>
    </row>
    <row r="4" spans="1:3" x14ac:dyDescent="0.3">
      <c r="A4" s="6" t="s">
        <v>609</v>
      </c>
      <c r="B4" s="103">
        <v>42752</v>
      </c>
      <c r="C4" t="s">
        <v>613</v>
      </c>
    </row>
    <row r="5" spans="1:3" x14ac:dyDescent="0.3">
      <c r="A5" s="6" t="s">
        <v>629</v>
      </c>
      <c r="B5" s="103">
        <v>42755</v>
      </c>
      <c r="C5" t="s">
        <v>630</v>
      </c>
    </row>
    <row r="6" spans="1:3" ht="43.2" x14ac:dyDescent="0.3">
      <c r="A6" s="2" t="s">
        <v>634</v>
      </c>
      <c r="C6" s="116" t="s">
        <v>637</v>
      </c>
    </row>
  </sheetData>
  <sheetProtection algorithmName="SHA-512" hashValue="JDJXOjnuKONVRbcHgecXpxQIXvcS/lwYX6O/tfYnBWcljSpHGn4GZPK9BU7/+dHrKcd+zHp1KrfeP3LJC6244w==" saltValue="pYvZtnORWgrpOHoZT2K3/g==" spinCount="100000" sheet="1" objects="1" scenarios="1"/>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7"/>
  <sheetViews>
    <sheetView topLeftCell="A143" workbookViewId="0">
      <selection activeCell="A149" sqref="A149"/>
    </sheetView>
  </sheetViews>
  <sheetFormatPr defaultRowHeight="14.4" x14ac:dyDescent="0.3"/>
  <cols>
    <col min="1" max="1" width="22" style="65" customWidth="1"/>
    <col min="2" max="2" width="30.88671875" style="65" customWidth="1"/>
    <col min="3" max="3" width="40" style="65" customWidth="1"/>
    <col min="4" max="4" width="23.109375" style="65" customWidth="1"/>
    <col min="5" max="5" width="24.5546875" style="65" customWidth="1"/>
    <col min="6" max="6" width="25.33203125" style="65" customWidth="1"/>
  </cols>
  <sheetData>
    <row r="2" spans="1:12" x14ac:dyDescent="0.3">
      <c r="A2" s="64" t="s">
        <v>227</v>
      </c>
      <c r="B2" s="65" t="b">
        <f>IF('Entry Tab'!B11=Dropdowns!B5,Dropdowns!A5,IF('Entry Tab'!B11=Dropdowns!B6,Dropdowns!A6,IF('Entry Tab'!B11=Dropdowns!B7,Dropdowns!A7,IF('Entry Tab'!B11=Dropdowns!B8,Dropdowns!A8,IF('Entry Tab'!B11=Dropdowns!B9,Dropdowns!A9,IF('Entry Tab'!B11=Dropdowns!B10,Dropdowns!A10,IF('Entry Tab'!B11=Dropdowns!B11,Dropdowns!A11,IF('Entry Tab'!B11=Dropdowns!B12,Dropdowns!A12,IF('Entry Tab'!B11=Dropdowns!B13,Dropdowns!A13,IF('Entry Tab'!B11=Dropdowns!B14,Dropdowns!A14,IF('Entry Tab'!B11=Dropdowns!B15,Dropdowns!A15,IF('Entry Tab'!B11=Dropdowns!B16,Dropdowns!A16,IF('Entry Tab'!B11=Dropdowns!B17,Dropdowns!A17,IF('Entry Tab'!B11=Dropdowns!B18,Dropdowns!A18,IF('Entry Tab'!B11=Dropdowns!B19,Dropdowns!A19,IF('Entry Tab'!B11=Dropdowns!B20,Dropdowns!A20,IF('Entry Tab'!B11=Dropdowns!B21,Dropdowns!A21,IF('Entry Tab'!B11=Dropdowns!B22,Dropdowns!A22,FALSE))))))))))))))))))</f>
        <v>0</v>
      </c>
    </row>
    <row r="3" spans="1:12" x14ac:dyDescent="0.3">
      <c r="A3" s="64" t="s">
        <v>134</v>
      </c>
      <c r="B3" s="64" t="s">
        <v>135</v>
      </c>
      <c r="C3" s="66" t="s">
        <v>132</v>
      </c>
      <c r="D3" s="66" t="s">
        <v>133</v>
      </c>
      <c r="E3" s="66" t="s">
        <v>131</v>
      </c>
    </row>
    <row r="4" spans="1:12" x14ac:dyDescent="0.3">
      <c r="A4" s="67" t="s">
        <v>262</v>
      </c>
      <c r="B4" s="67" t="s">
        <v>262</v>
      </c>
      <c r="C4" s="66"/>
      <c r="D4" s="66"/>
      <c r="E4" s="66"/>
      <c r="G4" s="10"/>
      <c r="L4" s="12" t="s">
        <v>262</v>
      </c>
    </row>
    <row r="5" spans="1:12" x14ac:dyDescent="0.3">
      <c r="A5" s="68">
        <v>0</v>
      </c>
      <c r="B5" s="69" t="s">
        <v>136</v>
      </c>
      <c r="C5" s="69" t="s">
        <v>130</v>
      </c>
      <c r="D5" s="69" t="s">
        <v>130</v>
      </c>
      <c r="E5" s="69" t="s">
        <v>130</v>
      </c>
      <c r="G5" s="11"/>
      <c r="L5" s="13">
        <v>0</v>
      </c>
    </row>
    <row r="6" spans="1:12" x14ac:dyDescent="0.3">
      <c r="A6" s="70">
        <v>1</v>
      </c>
      <c r="B6" s="71" t="s">
        <v>293</v>
      </c>
      <c r="C6" s="69" t="s">
        <v>130</v>
      </c>
      <c r="D6" s="69" t="s">
        <v>130</v>
      </c>
      <c r="E6" s="69" t="s">
        <v>144</v>
      </c>
      <c r="G6" s="4"/>
      <c r="L6" s="14">
        <v>1</v>
      </c>
    </row>
    <row r="7" spans="1:12" x14ac:dyDescent="0.3">
      <c r="A7" s="70">
        <v>2</v>
      </c>
      <c r="B7" s="71" t="s">
        <v>294</v>
      </c>
      <c r="C7" s="69" t="s">
        <v>130</v>
      </c>
      <c r="D7" s="69" t="s">
        <v>130</v>
      </c>
      <c r="E7" s="69" t="s">
        <v>264</v>
      </c>
      <c r="G7" s="4"/>
      <c r="L7" s="14">
        <v>2</v>
      </c>
    </row>
    <row r="8" spans="1:12" x14ac:dyDescent="0.3">
      <c r="A8" s="70">
        <v>3</v>
      </c>
      <c r="B8" s="71" t="s">
        <v>295</v>
      </c>
      <c r="C8" s="69" t="s">
        <v>130</v>
      </c>
      <c r="D8" s="69" t="s">
        <v>144</v>
      </c>
      <c r="E8" s="69" t="s">
        <v>130</v>
      </c>
      <c r="G8" s="4"/>
      <c r="L8" s="14">
        <v>3</v>
      </c>
    </row>
    <row r="9" spans="1:12" x14ac:dyDescent="0.3">
      <c r="A9" s="70">
        <v>4</v>
      </c>
      <c r="B9" s="71" t="s">
        <v>296</v>
      </c>
      <c r="C9" s="69" t="s">
        <v>130</v>
      </c>
      <c r="D9" s="69" t="s">
        <v>144</v>
      </c>
      <c r="E9" s="69" t="s">
        <v>144</v>
      </c>
      <c r="G9" s="4"/>
      <c r="L9" s="14">
        <v>4</v>
      </c>
    </row>
    <row r="10" spans="1:12" x14ac:dyDescent="0.3">
      <c r="A10" s="70">
        <v>5</v>
      </c>
      <c r="B10" s="71" t="s">
        <v>320</v>
      </c>
      <c r="C10" s="69" t="s">
        <v>130</v>
      </c>
      <c r="D10" s="69" t="s">
        <v>144</v>
      </c>
      <c r="E10" s="69" t="s">
        <v>264</v>
      </c>
      <c r="G10" s="4"/>
      <c r="L10" s="14">
        <v>5</v>
      </c>
    </row>
    <row r="11" spans="1:12" x14ac:dyDescent="0.3">
      <c r="A11" s="70">
        <v>6</v>
      </c>
      <c r="B11" s="71" t="s">
        <v>297</v>
      </c>
      <c r="C11" s="69" t="s">
        <v>130</v>
      </c>
      <c r="D11" s="69" t="s">
        <v>264</v>
      </c>
      <c r="E11" s="69" t="s">
        <v>130</v>
      </c>
      <c r="G11" s="4"/>
      <c r="L11" s="14">
        <v>6</v>
      </c>
    </row>
    <row r="12" spans="1:12" x14ac:dyDescent="0.3">
      <c r="A12" s="70">
        <v>7</v>
      </c>
      <c r="B12" s="71" t="s">
        <v>298</v>
      </c>
      <c r="C12" s="69" t="s">
        <v>130</v>
      </c>
      <c r="D12" s="69" t="s">
        <v>264</v>
      </c>
      <c r="E12" s="69" t="s">
        <v>144</v>
      </c>
      <c r="G12" s="4"/>
      <c r="L12" s="14">
        <v>7</v>
      </c>
    </row>
    <row r="13" spans="1:12" x14ac:dyDescent="0.3">
      <c r="A13" s="70">
        <v>8</v>
      </c>
      <c r="B13" s="71" t="s">
        <v>299</v>
      </c>
      <c r="C13" s="69" t="s">
        <v>130</v>
      </c>
      <c r="D13" s="69" t="s">
        <v>264</v>
      </c>
      <c r="E13" s="69" t="s">
        <v>264</v>
      </c>
      <c r="G13" s="4"/>
      <c r="L13" s="14">
        <v>8</v>
      </c>
    </row>
    <row r="14" spans="1:12" x14ac:dyDescent="0.3">
      <c r="A14" s="70">
        <v>9</v>
      </c>
      <c r="B14" s="71" t="s">
        <v>300</v>
      </c>
      <c r="C14" s="69" t="s">
        <v>144</v>
      </c>
      <c r="D14" s="69" t="s">
        <v>130</v>
      </c>
      <c r="E14" s="69" t="s">
        <v>130</v>
      </c>
      <c r="G14" s="4"/>
      <c r="L14" s="14">
        <v>9</v>
      </c>
    </row>
    <row r="15" spans="1:12" x14ac:dyDescent="0.3">
      <c r="A15" s="70">
        <v>10</v>
      </c>
      <c r="B15" s="71" t="s">
        <v>301</v>
      </c>
      <c r="C15" s="69" t="s">
        <v>144</v>
      </c>
      <c r="D15" s="69" t="s">
        <v>130</v>
      </c>
      <c r="E15" s="69" t="s">
        <v>144</v>
      </c>
      <c r="G15" s="4"/>
      <c r="L15" s="14">
        <v>10</v>
      </c>
    </row>
    <row r="16" spans="1:12" x14ac:dyDescent="0.3">
      <c r="A16" s="70">
        <v>11</v>
      </c>
      <c r="B16" s="71" t="s">
        <v>302</v>
      </c>
      <c r="C16" s="69" t="s">
        <v>144</v>
      </c>
      <c r="D16" s="69" t="s">
        <v>130</v>
      </c>
      <c r="E16" s="69" t="s">
        <v>264</v>
      </c>
      <c r="G16" s="4"/>
      <c r="L16" s="14">
        <v>11</v>
      </c>
    </row>
    <row r="17" spans="1:12" x14ac:dyDescent="0.3">
      <c r="A17" s="70">
        <v>12</v>
      </c>
      <c r="B17" s="71" t="s">
        <v>303</v>
      </c>
      <c r="C17" s="69" t="s">
        <v>144</v>
      </c>
      <c r="D17" s="69" t="s">
        <v>144</v>
      </c>
      <c r="E17" s="69" t="s">
        <v>130</v>
      </c>
      <c r="G17" s="4"/>
      <c r="L17" s="14">
        <v>12</v>
      </c>
    </row>
    <row r="18" spans="1:12" x14ac:dyDescent="0.3">
      <c r="A18" s="70">
        <v>13</v>
      </c>
      <c r="B18" s="71" t="s">
        <v>304</v>
      </c>
      <c r="C18" s="69" t="s">
        <v>144</v>
      </c>
      <c r="D18" s="69" t="s">
        <v>144</v>
      </c>
      <c r="E18" s="69" t="s">
        <v>144</v>
      </c>
      <c r="G18" s="4"/>
      <c r="L18" s="14">
        <v>13</v>
      </c>
    </row>
    <row r="19" spans="1:12" x14ac:dyDescent="0.3">
      <c r="A19" s="70">
        <v>14</v>
      </c>
      <c r="B19" s="71" t="s">
        <v>305</v>
      </c>
      <c r="C19" s="69" t="s">
        <v>144</v>
      </c>
      <c r="D19" s="69" t="s">
        <v>144</v>
      </c>
      <c r="E19" s="69" t="s">
        <v>264</v>
      </c>
      <c r="G19" s="4"/>
      <c r="L19" s="14">
        <v>14</v>
      </c>
    </row>
    <row r="20" spans="1:12" x14ac:dyDescent="0.3">
      <c r="A20" s="70">
        <v>15</v>
      </c>
      <c r="B20" s="71" t="s">
        <v>306</v>
      </c>
      <c r="C20" s="69" t="s">
        <v>144</v>
      </c>
      <c r="D20" s="69" t="s">
        <v>264</v>
      </c>
      <c r="E20" s="69" t="s">
        <v>130</v>
      </c>
      <c r="G20" s="4"/>
      <c r="L20" s="14">
        <v>15</v>
      </c>
    </row>
    <row r="21" spans="1:12" x14ac:dyDescent="0.3">
      <c r="A21" s="70">
        <v>16</v>
      </c>
      <c r="B21" s="72" t="s">
        <v>137</v>
      </c>
      <c r="C21" s="69" t="s">
        <v>144</v>
      </c>
      <c r="D21" s="69" t="s">
        <v>264</v>
      </c>
      <c r="E21" s="69" t="s">
        <v>144</v>
      </c>
      <c r="G21" s="4"/>
      <c r="L21" s="14">
        <v>16</v>
      </c>
    </row>
    <row r="22" spans="1:12" x14ac:dyDescent="0.3">
      <c r="A22" s="70">
        <v>17</v>
      </c>
      <c r="B22" s="72" t="s">
        <v>137</v>
      </c>
      <c r="C22" s="69" t="s">
        <v>144</v>
      </c>
      <c r="D22" s="69" t="s">
        <v>264</v>
      </c>
      <c r="E22" s="69" t="s">
        <v>264</v>
      </c>
      <c r="G22" s="4"/>
      <c r="L22" s="14">
        <v>17</v>
      </c>
    </row>
    <row r="24" spans="1:12" x14ac:dyDescent="0.3">
      <c r="A24" s="64" t="s">
        <v>228</v>
      </c>
    </row>
    <row r="25" spans="1:12" x14ac:dyDescent="0.3">
      <c r="A25" s="73" t="s">
        <v>141</v>
      </c>
      <c r="B25" s="66" t="s">
        <v>140</v>
      </c>
      <c r="C25" s="66" t="s">
        <v>139</v>
      </c>
      <c r="D25" s="66" t="s">
        <v>138</v>
      </c>
    </row>
    <row r="26" spans="1:12" x14ac:dyDescent="0.3">
      <c r="A26" s="74" t="s">
        <v>262</v>
      </c>
      <c r="B26" s="66"/>
      <c r="C26" s="66"/>
      <c r="D26" s="66"/>
    </row>
    <row r="27" spans="1:12" x14ac:dyDescent="0.3">
      <c r="A27" s="72" t="s">
        <v>142</v>
      </c>
      <c r="B27" s="69" t="s">
        <v>130</v>
      </c>
      <c r="C27" s="69" t="s">
        <v>130</v>
      </c>
      <c r="D27" s="69" t="s">
        <v>130</v>
      </c>
    </row>
    <row r="28" spans="1:12" x14ac:dyDescent="0.3">
      <c r="A28" s="73" t="s">
        <v>143</v>
      </c>
      <c r="B28" s="69" t="s">
        <v>130</v>
      </c>
      <c r="C28" s="69" t="s">
        <v>130</v>
      </c>
      <c r="D28" s="69" t="s">
        <v>144</v>
      </c>
    </row>
    <row r="29" spans="1:12" x14ac:dyDescent="0.3">
      <c r="A29" s="72">
        <v>2</v>
      </c>
      <c r="B29" s="69" t="s">
        <v>130</v>
      </c>
      <c r="C29" s="69" t="s">
        <v>130</v>
      </c>
      <c r="D29" s="69" t="s">
        <v>264</v>
      </c>
    </row>
    <row r="30" spans="1:12" x14ac:dyDescent="0.3">
      <c r="A30" s="72">
        <v>4</v>
      </c>
      <c r="B30" s="69" t="s">
        <v>130</v>
      </c>
      <c r="C30" s="69" t="s">
        <v>144</v>
      </c>
      <c r="D30" s="69" t="s">
        <v>130</v>
      </c>
    </row>
    <row r="31" spans="1:12" x14ac:dyDescent="0.3">
      <c r="A31" s="72">
        <v>6</v>
      </c>
      <c r="B31" s="69" t="s">
        <v>130</v>
      </c>
      <c r="C31" s="69" t="s">
        <v>144</v>
      </c>
      <c r="D31" s="69" t="s">
        <v>144</v>
      </c>
    </row>
    <row r="32" spans="1:12" x14ac:dyDescent="0.3">
      <c r="A32" s="72">
        <v>8</v>
      </c>
      <c r="B32" s="69" t="s">
        <v>130</v>
      </c>
      <c r="C32" s="69" t="s">
        <v>144</v>
      </c>
      <c r="D32" s="69" t="s">
        <v>264</v>
      </c>
    </row>
    <row r="33" spans="1:4" x14ac:dyDescent="0.3">
      <c r="A33" s="72">
        <v>10</v>
      </c>
      <c r="B33" s="69" t="s">
        <v>130</v>
      </c>
      <c r="C33" s="69" t="s">
        <v>264</v>
      </c>
      <c r="D33" s="69" t="s">
        <v>130</v>
      </c>
    </row>
    <row r="34" spans="1:4" x14ac:dyDescent="0.3">
      <c r="A34" s="72">
        <v>12</v>
      </c>
      <c r="B34" s="69" t="s">
        <v>130</v>
      </c>
      <c r="C34" s="69" t="s">
        <v>264</v>
      </c>
      <c r="D34" s="69" t="s">
        <v>144</v>
      </c>
    </row>
    <row r="35" spans="1:4" x14ac:dyDescent="0.3">
      <c r="A35" s="72">
        <v>14</v>
      </c>
      <c r="B35" s="69" t="s">
        <v>130</v>
      </c>
      <c r="C35" s="69" t="s">
        <v>264</v>
      </c>
      <c r="D35" s="69" t="s">
        <v>264</v>
      </c>
    </row>
    <row r="36" spans="1:4" x14ac:dyDescent="0.3">
      <c r="A36" s="72">
        <v>16</v>
      </c>
      <c r="B36" s="69" t="s">
        <v>144</v>
      </c>
      <c r="C36" s="69" t="s">
        <v>130</v>
      </c>
      <c r="D36" s="69" t="s">
        <v>130</v>
      </c>
    </row>
    <row r="37" spans="1:4" x14ac:dyDescent="0.3">
      <c r="A37" s="72">
        <v>18</v>
      </c>
      <c r="B37" s="69" t="s">
        <v>144</v>
      </c>
      <c r="C37" s="69" t="s">
        <v>130</v>
      </c>
      <c r="D37" s="69" t="s">
        <v>144</v>
      </c>
    </row>
    <row r="38" spans="1:4" x14ac:dyDescent="0.3">
      <c r="A38" s="72">
        <v>20</v>
      </c>
      <c r="B38" s="69" t="s">
        <v>144</v>
      </c>
      <c r="C38" s="69" t="s">
        <v>130</v>
      </c>
      <c r="D38" s="69" t="s">
        <v>264</v>
      </c>
    </row>
    <row r="39" spans="1:4" x14ac:dyDescent="0.3">
      <c r="A39" s="72">
        <v>22</v>
      </c>
      <c r="B39" s="69" t="s">
        <v>144</v>
      </c>
      <c r="C39" s="69" t="s">
        <v>144</v>
      </c>
      <c r="D39" s="69" t="s">
        <v>130</v>
      </c>
    </row>
    <row r="40" spans="1:4" x14ac:dyDescent="0.3">
      <c r="A40" s="72">
        <v>24</v>
      </c>
      <c r="B40" s="69" t="s">
        <v>144</v>
      </c>
      <c r="C40" s="69" t="s">
        <v>144</v>
      </c>
      <c r="D40" s="69" t="s">
        <v>144</v>
      </c>
    </row>
    <row r="41" spans="1:4" x14ac:dyDescent="0.3">
      <c r="A41" s="72">
        <v>26</v>
      </c>
      <c r="B41" s="69" t="s">
        <v>144</v>
      </c>
      <c r="C41" s="69" t="s">
        <v>144</v>
      </c>
      <c r="D41" s="69" t="s">
        <v>264</v>
      </c>
    </row>
    <row r="42" spans="1:4" x14ac:dyDescent="0.3">
      <c r="A42" s="72">
        <v>28</v>
      </c>
      <c r="B42" s="69" t="s">
        <v>144</v>
      </c>
      <c r="C42" s="69" t="s">
        <v>264</v>
      </c>
      <c r="D42" s="69" t="s">
        <v>130</v>
      </c>
    </row>
    <row r="43" spans="1:4" x14ac:dyDescent="0.3">
      <c r="A43" s="72">
        <v>30</v>
      </c>
      <c r="B43" s="69" t="s">
        <v>144</v>
      </c>
      <c r="C43" s="69" t="s">
        <v>264</v>
      </c>
      <c r="D43" s="69" t="s">
        <v>144</v>
      </c>
    </row>
    <row r="44" spans="1:4" x14ac:dyDescent="0.3">
      <c r="A44" s="72">
        <v>32</v>
      </c>
      <c r="B44" s="69" t="s">
        <v>144</v>
      </c>
      <c r="C44" s="69" t="s">
        <v>264</v>
      </c>
      <c r="D44" s="69" t="s">
        <v>264</v>
      </c>
    </row>
    <row r="45" spans="1:4" x14ac:dyDescent="0.3">
      <c r="A45" s="72">
        <v>34</v>
      </c>
      <c r="B45" s="69" t="s">
        <v>264</v>
      </c>
      <c r="C45" s="69" t="s">
        <v>130</v>
      </c>
      <c r="D45" s="69" t="s">
        <v>130</v>
      </c>
    </row>
    <row r="46" spans="1:4" x14ac:dyDescent="0.3">
      <c r="A46" s="72">
        <v>36</v>
      </c>
      <c r="B46" s="69" t="s">
        <v>264</v>
      </c>
      <c r="C46" s="69" t="s">
        <v>130</v>
      </c>
      <c r="D46" s="69" t="s">
        <v>144</v>
      </c>
    </row>
    <row r="47" spans="1:4" x14ac:dyDescent="0.3">
      <c r="A47" s="72">
        <v>38</v>
      </c>
      <c r="B47" s="69" t="s">
        <v>264</v>
      </c>
      <c r="C47" s="69" t="s">
        <v>130</v>
      </c>
      <c r="D47" s="69" t="s">
        <v>264</v>
      </c>
    </row>
    <row r="48" spans="1:4" x14ac:dyDescent="0.3">
      <c r="A48" s="72">
        <v>40</v>
      </c>
      <c r="B48" s="69" t="s">
        <v>264</v>
      </c>
      <c r="C48" s="69" t="s">
        <v>144</v>
      </c>
      <c r="D48" s="69" t="s">
        <v>130</v>
      </c>
    </row>
    <row r="49" spans="1:6" x14ac:dyDescent="0.3">
      <c r="A49" s="72">
        <v>42</v>
      </c>
      <c r="B49" s="69" t="s">
        <v>264</v>
      </c>
      <c r="C49" s="69" t="s">
        <v>144</v>
      </c>
      <c r="D49" s="69" t="s">
        <v>144</v>
      </c>
    </row>
    <row r="50" spans="1:6" x14ac:dyDescent="0.3">
      <c r="A50" s="72">
        <v>44</v>
      </c>
      <c r="B50" s="69" t="s">
        <v>264</v>
      </c>
      <c r="C50" s="69" t="s">
        <v>144</v>
      </c>
      <c r="D50" s="69" t="s">
        <v>264</v>
      </c>
    </row>
    <row r="51" spans="1:6" x14ac:dyDescent="0.3">
      <c r="A51" s="72">
        <v>46</v>
      </c>
      <c r="B51" s="69" t="s">
        <v>264</v>
      </c>
      <c r="C51" s="69" t="s">
        <v>264</v>
      </c>
      <c r="D51" s="69" t="s">
        <v>130</v>
      </c>
    </row>
    <row r="52" spans="1:6" x14ac:dyDescent="0.3">
      <c r="A52" s="72">
        <v>48</v>
      </c>
      <c r="B52" s="69" t="s">
        <v>264</v>
      </c>
      <c r="C52" s="69" t="s">
        <v>264</v>
      </c>
      <c r="D52" s="69" t="s">
        <v>144</v>
      </c>
    </row>
    <row r="53" spans="1:6" x14ac:dyDescent="0.3">
      <c r="A53" s="72">
        <v>50</v>
      </c>
      <c r="B53" s="69" t="s">
        <v>264</v>
      </c>
      <c r="C53" s="69" t="s">
        <v>264</v>
      </c>
      <c r="D53" s="69" t="s">
        <v>264</v>
      </c>
    </row>
    <row r="55" spans="1:6" x14ac:dyDescent="0.3">
      <c r="A55" s="64" t="s">
        <v>154</v>
      </c>
      <c r="B55" s="65">
        <f>IF('Entry Tab'!B9=Dropdowns!C57,Dropdowns!B57,IF('Entry Tab'!B9=Dropdowns!C58,Dropdowns!B58,IF('Entry Tab'!B9=Dropdowns!C59,Dropdowns!B59,IF('Entry Tab'!B9=Dropdowns!C60,Dropdowns!B60,IF('Entry Tab'!B9=Dropdowns!C61,Dropdowns!B61,IF('Entry Tab'!B9=Dropdowns!C62,Dropdowns!B62,IF('Entry Tab'!B9=Dropdowns!C63,Dropdowns!B63,IF('Entry Tab'!B9=Dropdowns!C64,Dropdowns!B64,IF('Entry Tab'!B9=Dropdowns!C65,Dropdowns!B65,FALSE)))))))))</f>
        <v>0</v>
      </c>
    </row>
    <row r="56" spans="1:6" x14ac:dyDescent="0.3">
      <c r="A56" s="64" t="s">
        <v>152</v>
      </c>
      <c r="C56" s="64" t="s">
        <v>154</v>
      </c>
      <c r="D56" s="66" t="s">
        <v>151</v>
      </c>
      <c r="E56" s="66" t="s">
        <v>150</v>
      </c>
      <c r="F56" s="66" t="s">
        <v>149</v>
      </c>
    </row>
    <row r="57" spans="1:6" x14ac:dyDescent="0.3">
      <c r="A57" s="64"/>
      <c r="B57" s="65">
        <v>0</v>
      </c>
      <c r="C57" s="74" t="s">
        <v>262</v>
      </c>
      <c r="D57" s="66"/>
      <c r="E57" s="66"/>
      <c r="F57" s="66"/>
    </row>
    <row r="58" spans="1:6" x14ac:dyDescent="0.3">
      <c r="A58" s="134" t="s">
        <v>153</v>
      </c>
      <c r="B58" s="65">
        <v>1</v>
      </c>
      <c r="C58" s="75" t="s">
        <v>155</v>
      </c>
      <c r="D58" s="69" t="s">
        <v>130</v>
      </c>
      <c r="E58" s="69" t="s">
        <v>130</v>
      </c>
      <c r="F58" s="69" t="s">
        <v>130</v>
      </c>
    </row>
    <row r="59" spans="1:6" x14ac:dyDescent="0.3">
      <c r="A59" s="134"/>
      <c r="B59" s="65">
        <v>2</v>
      </c>
      <c r="C59" s="73" t="s">
        <v>156</v>
      </c>
      <c r="D59" s="69" t="s">
        <v>130</v>
      </c>
      <c r="E59" s="69" t="s">
        <v>130</v>
      </c>
      <c r="F59" s="69" t="s">
        <v>144</v>
      </c>
    </row>
    <row r="60" spans="1:6" x14ac:dyDescent="0.3">
      <c r="A60" s="134"/>
      <c r="B60" s="65">
        <v>3</v>
      </c>
      <c r="C60" s="73" t="s">
        <v>158</v>
      </c>
      <c r="D60" s="69" t="s">
        <v>130</v>
      </c>
      <c r="E60" s="69" t="s">
        <v>130</v>
      </c>
      <c r="F60" s="69" t="s">
        <v>264</v>
      </c>
    </row>
    <row r="61" spans="1:6" x14ac:dyDescent="0.3">
      <c r="A61" s="134"/>
      <c r="B61" s="65">
        <v>4</v>
      </c>
      <c r="C61" s="73" t="s">
        <v>157</v>
      </c>
      <c r="D61" s="69" t="s">
        <v>130</v>
      </c>
      <c r="E61" s="69" t="s">
        <v>144</v>
      </c>
      <c r="F61" s="69" t="s">
        <v>130</v>
      </c>
    </row>
    <row r="62" spans="1:6" x14ac:dyDescent="0.3">
      <c r="A62" s="134"/>
      <c r="B62" s="65">
        <v>5</v>
      </c>
      <c r="C62" s="73" t="s">
        <v>159</v>
      </c>
      <c r="D62" s="69" t="s">
        <v>130</v>
      </c>
      <c r="E62" s="69" t="s">
        <v>144</v>
      </c>
      <c r="F62" s="69" t="s">
        <v>144</v>
      </c>
    </row>
    <row r="63" spans="1:6" x14ac:dyDescent="0.3">
      <c r="A63" s="134"/>
      <c r="B63" s="65">
        <v>6</v>
      </c>
      <c r="C63" s="73" t="s">
        <v>160</v>
      </c>
      <c r="D63" s="69" t="s">
        <v>130</v>
      </c>
      <c r="E63" s="69" t="s">
        <v>144</v>
      </c>
      <c r="F63" s="69" t="s">
        <v>264</v>
      </c>
    </row>
    <row r="64" spans="1:6" x14ac:dyDescent="0.3">
      <c r="A64" s="134"/>
      <c r="B64" s="65">
        <v>7</v>
      </c>
      <c r="C64" s="73" t="s">
        <v>161</v>
      </c>
      <c r="D64" s="69" t="s">
        <v>130</v>
      </c>
      <c r="E64" s="69" t="s">
        <v>264</v>
      </c>
      <c r="F64" s="69" t="s">
        <v>130</v>
      </c>
    </row>
    <row r="65" spans="1:6" x14ac:dyDescent="0.3">
      <c r="A65" s="134"/>
      <c r="B65" s="65">
        <v>8</v>
      </c>
      <c r="C65" s="73" t="s">
        <v>162</v>
      </c>
      <c r="D65" s="69" t="s">
        <v>130</v>
      </c>
      <c r="E65" s="69" t="s">
        <v>264</v>
      </c>
      <c r="F65" s="69" t="s">
        <v>144</v>
      </c>
    </row>
    <row r="67" spans="1:6" x14ac:dyDescent="0.3">
      <c r="A67" s="64" t="s">
        <v>234</v>
      </c>
      <c r="B67" s="64">
        <f>IF('Entry Tab'!B8=Dropdowns!B68,Dropdowns!A68,IF('Entry Tab'!B8=Dropdowns!B69,Dropdowns!A69,IF('Entry Tab'!B8=Dropdowns!B70,Dropdowns!A70,IF('Entry Tab'!B8=Dropdowns!B71,Dropdowns!A71,IF('Entry Tab'!B8=Dropdowns!B72,Dropdowns!A72,IF('Entry Tab'!B8=Dropdowns!B73,Dropdowns!A73,IF('Entry Tab'!B8=Dropdowns!B74,Dropdowns!A74,IF('Entry Tab'!B8=Dropdowns!B75,Dropdowns!A75,IF('Entry Tab'!B8=Dropdowns!B76,Dropdowns!A76,FALSE)))))))))</f>
        <v>0</v>
      </c>
      <c r="C67" s="64" t="s">
        <v>237</v>
      </c>
      <c r="D67" s="64" t="s">
        <v>236</v>
      </c>
      <c r="E67" s="64" t="s">
        <v>235</v>
      </c>
    </row>
    <row r="68" spans="1:6" x14ac:dyDescent="0.3">
      <c r="A68" s="65">
        <v>0</v>
      </c>
      <c r="B68" s="74" t="s">
        <v>262</v>
      </c>
      <c r="C68" s="64"/>
      <c r="D68" s="64"/>
      <c r="E68" s="64"/>
    </row>
    <row r="69" spans="1:6" x14ac:dyDescent="0.3">
      <c r="A69" s="65">
        <v>1</v>
      </c>
      <c r="B69" s="74" t="s">
        <v>240</v>
      </c>
      <c r="C69" s="69" t="s">
        <v>130</v>
      </c>
      <c r="D69" s="69" t="s">
        <v>130</v>
      </c>
      <c r="E69" s="69" t="s">
        <v>130</v>
      </c>
    </row>
    <row r="70" spans="1:6" x14ac:dyDescent="0.3">
      <c r="A70" s="65">
        <v>2</v>
      </c>
      <c r="B70" s="65" t="s">
        <v>241</v>
      </c>
      <c r="C70" s="69" t="s">
        <v>130</v>
      </c>
      <c r="D70" s="69" t="s">
        <v>130</v>
      </c>
      <c r="E70" s="69" t="s">
        <v>271</v>
      </c>
    </row>
    <row r="71" spans="1:6" x14ac:dyDescent="0.3">
      <c r="A71" s="65">
        <v>3</v>
      </c>
      <c r="B71" s="65" t="s">
        <v>242</v>
      </c>
      <c r="C71" s="69" t="s">
        <v>130</v>
      </c>
      <c r="D71" s="69" t="s">
        <v>271</v>
      </c>
      <c r="E71" s="69" t="s">
        <v>130</v>
      </c>
    </row>
    <row r="72" spans="1:6" x14ac:dyDescent="0.3">
      <c r="A72" s="65">
        <v>4</v>
      </c>
      <c r="B72" s="65" t="s">
        <v>243</v>
      </c>
      <c r="C72" s="69" t="s">
        <v>130</v>
      </c>
      <c r="D72" s="69" t="s">
        <v>271</v>
      </c>
      <c r="E72" s="69" t="s">
        <v>271</v>
      </c>
    </row>
    <row r="73" spans="1:6" x14ac:dyDescent="0.3">
      <c r="A73" s="65">
        <v>5</v>
      </c>
      <c r="B73" s="65" t="s">
        <v>244</v>
      </c>
      <c r="C73" s="69" t="s">
        <v>271</v>
      </c>
      <c r="D73" s="69" t="s">
        <v>130</v>
      </c>
      <c r="E73" s="69" t="s">
        <v>130</v>
      </c>
    </row>
    <row r="74" spans="1:6" x14ac:dyDescent="0.3">
      <c r="A74" s="65">
        <v>6</v>
      </c>
      <c r="B74" s="65" t="s">
        <v>245</v>
      </c>
      <c r="C74" s="69" t="s">
        <v>271</v>
      </c>
      <c r="D74" s="69" t="s">
        <v>130</v>
      </c>
      <c r="E74" s="69" t="s">
        <v>271</v>
      </c>
    </row>
    <row r="75" spans="1:6" x14ac:dyDescent="0.3">
      <c r="A75" s="65">
        <v>7</v>
      </c>
      <c r="B75" s="65" t="s">
        <v>246</v>
      </c>
      <c r="C75" s="69" t="s">
        <v>271</v>
      </c>
      <c r="D75" s="69" t="s">
        <v>271</v>
      </c>
      <c r="E75" s="69" t="s">
        <v>130</v>
      </c>
    </row>
    <row r="76" spans="1:6" x14ac:dyDescent="0.3">
      <c r="A76" s="65">
        <v>8</v>
      </c>
      <c r="B76" s="65" t="s">
        <v>247</v>
      </c>
      <c r="C76" s="69" t="s">
        <v>271</v>
      </c>
      <c r="D76" s="69" t="s">
        <v>271</v>
      </c>
      <c r="E76" s="69" t="s">
        <v>271</v>
      </c>
    </row>
    <row r="78" spans="1:6" x14ac:dyDescent="0.3">
      <c r="A78" s="64" t="s">
        <v>256</v>
      </c>
      <c r="B78" s="66" t="s">
        <v>269</v>
      </c>
      <c r="C78" s="66" t="s">
        <v>270</v>
      </c>
    </row>
    <row r="79" spans="1:6" x14ac:dyDescent="0.3">
      <c r="A79" s="74" t="s">
        <v>262</v>
      </c>
    </row>
    <row r="80" spans="1:6" x14ac:dyDescent="0.3">
      <c r="A80" s="65" t="s">
        <v>249</v>
      </c>
      <c r="B80" s="65" t="s">
        <v>130</v>
      </c>
      <c r="C80" s="65" t="s">
        <v>130</v>
      </c>
    </row>
    <row r="81" spans="1:6" x14ac:dyDescent="0.3">
      <c r="A81" s="65" t="s">
        <v>248</v>
      </c>
      <c r="B81" s="65" t="s">
        <v>130</v>
      </c>
      <c r="C81" s="69" t="s">
        <v>271</v>
      </c>
    </row>
    <row r="82" spans="1:6" x14ac:dyDescent="0.3">
      <c r="A82" s="65" t="s">
        <v>250</v>
      </c>
      <c r="B82" s="69" t="s">
        <v>271</v>
      </c>
      <c r="C82" s="65" t="s">
        <v>130</v>
      </c>
    </row>
    <row r="84" spans="1:6" x14ac:dyDescent="0.3">
      <c r="A84" s="64" t="s">
        <v>230</v>
      </c>
    </row>
    <row r="85" spans="1:6" x14ac:dyDescent="0.3">
      <c r="A85" s="74" t="s">
        <v>262</v>
      </c>
    </row>
    <row r="86" spans="1:6" x14ac:dyDescent="0.3">
      <c r="A86" s="65" t="s">
        <v>230</v>
      </c>
    </row>
    <row r="87" spans="1:6" x14ac:dyDescent="0.3">
      <c r="A87" s="65" t="s">
        <v>231</v>
      </c>
    </row>
    <row r="89" spans="1:6" x14ac:dyDescent="0.3">
      <c r="A89" s="64" t="s">
        <v>257</v>
      </c>
    </row>
    <row r="90" spans="1:6" x14ac:dyDescent="0.3">
      <c r="A90" s="74" t="s">
        <v>262</v>
      </c>
    </row>
    <row r="91" spans="1:6" s="5" customFormat="1" x14ac:dyDescent="0.3">
      <c r="A91" s="74" t="s">
        <v>231</v>
      </c>
      <c r="B91" s="74"/>
      <c r="C91" s="74"/>
      <c r="D91" s="74"/>
      <c r="E91" s="74"/>
      <c r="F91" s="74"/>
    </row>
    <row r="92" spans="1:6" x14ac:dyDescent="0.3">
      <c r="A92" s="65" t="s">
        <v>233</v>
      </c>
    </row>
    <row r="93" spans="1:6" x14ac:dyDescent="0.3">
      <c r="A93" s="65" t="s">
        <v>232</v>
      </c>
    </row>
    <row r="95" spans="1:6" x14ac:dyDescent="0.3">
      <c r="A95" s="64" t="s">
        <v>258</v>
      </c>
    </row>
    <row r="96" spans="1:6" x14ac:dyDescent="0.3">
      <c r="A96" s="74" t="s">
        <v>262</v>
      </c>
    </row>
    <row r="97" spans="1:4" x14ac:dyDescent="0.3">
      <c r="A97" s="65" t="s">
        <v>165</v>
      </c>
    </row>
    <row r="98" spans="1:4" x14ac:dyDescent="0.3">
      <c r="A98" s="65" t="s">
        <v>239</v>
      </c>
    </row>
    <row r="100" spans="1:4" x14ac:dyDescent="0.3">
      <c r="A100" s="64" t="s">
        <v>259</v>
      </c>
    </row>
    <row r="101" spans="1:4" x14ac:dyDescent="0.3">
      <c r="A101" s="74" t="s">
        <v>262</v>
      </c>
    </row>
    <row r="102" spans="1:4" x14ac:dyDescent="0.3">
      <c r="A102" s="65" t="s">
        <v>165</v>
      </c>
    </row>
    <row r="103" spans="1:4" x14ac:dyDescent="0.3">
      <c r="A103" s="65" t="s">
        <v>251</v>
      </c>
    </row>
    <row r="104" spans="1:4" x14ac:dyDescent="0.3">
      <c r="C104" s="64"/>
      <c r="D104" s="64"/>
    </row>
    <row r="105" spans="1:4" x14ac:dyDescent="0.3">
      <c r="A105" s="64" t="s">
        <v>260</v>
      </c>
      <c r="C105" s="64"/>
      <c r="D105" s="64"/>
    </row>
    <row r="106" spans="1:4" x14ac:dyDescent="0.3">
      <c r="A106" s="74" t="s">
        <v>262</v>
      </c>
      <c r="C106" s="64"/>
      <c r="D106" s="64"/>
    </row>
    <row r="107" spans="1:4" x14ac:dyDescent="0.3">
      <c r="A107" s="65" t="s">
        <v>252</v>
      </c>
    </row>
    <row r="108" spans="1:4" x14ac:dyDescent="0.3">
      <c r="A108" s="65" t="s">
        <v>253</v>
      </c>
    </row>
    <row r="110" spans="1:4" x14ac:dyDescent="0.3">
      <c r="A110" s="64" t="s">
        <v>261</v>
      </c>
    </row>
    <row r="111" spans="1:4" x14ac:dyDescent="0.3">
      <c r="A111" s="74" t="s">
        <v>262</v>
      </c>
    </row>
    <row r="112" spans="1:4" x14ac:dyDescent="0.3">
      <c r="A112" s="65" t="s">
        <v>254</v>
      </c>
    </row>
    <row r="113" spans="1:1" x14ac:dyDescent="0.3">
      <c r="A113" s="65" t="s">
        <v>255</v>
      </c>
    </row>
    <row r="115" spans="1:1" x14ac:dyDescent="0.3">
      <c r="A115" s="64" t="s">
        <v>266</v>
      </c>
    </row>
    <row r="116" spans="1:1" x14ac:dyDescent="0.3">
      <c r="A116" s="74" t="s">
        <v>262</v>
      </c>
    </row>
    <row r="117" spans="1:1" x14ac:dyDescent="0.3">
      <c r="A117" s="74" t="s">
        <v>267</v>
      </c>
    </row>
    <row r="118" spans="1:1" x14ac:dyDescent="0.3">
      <c r="A118" s="74" t="s">
        <v>268</v>
      </c>
    </row>
    <row r="120" spans="1:1" x14ac:dyDescent="0.3">
      <c r="A120" s="64" t="s">
        <v>282</v>
      </c>
    </row>
    <row r="121" spans="1:1" x14ac:dyDescent="0.3">
      <c r="A121" s="74" t="s">
        <v>262</v>
      </c>
    </row>
    <row r="122" spans="1:1" x14ac:dyDescent="0.3">
      <c r="A122" s="74" t="s">
        <v>283</v>
      </c>
    </row>
    <row r="123" spans="1:1" x14ac:dyDescent="0.3">
      <c r="A123" s="74" t="s">
        <v>284</v>
      </c>
    </row>
    <row r="125" spans="1:1" x14ac:dyDescent="0.3">
      <c r="A125" s="64" t="s">
        <v>286</v>
      </c>
    </row>
    <row r="126" spans="1:1" x14ac:dyDescent="0.3">
      <c r="A126" s="74" t="s">
        <v>262</v>
      </c>
    </row>
    <row r="127" spans="1:1" x14ac:dyDescent="0.3">
      <c r="A127" s="65" t="s">
        <v>288</v>
      </c>
    </row>
    <row r="128" spans="1:1" x14ac:dyDescent="0.3">
      <c r="A128" s="65" t="s">
        <v>289</v>
      </c>
    </row>
    <row r="129" spans="1:5" x14ac:dyDescent="0.3">
      <c r="A129" s="65" t="s">
        <v>287</v>
      </c>
    </row>
    <row r="131" spans="1:5" x14ac:dyDescent="0.3">
      <c r="A131" s="64" t="s">
        <v>291</v>
      </c>
    </row>
    <row r="132" spans="1:5" x14ac:dyDescent="0.3">
      <c r="A132" s="74" t="s">
        <v>262</v>
      </c>
    </row>
    <row r="133" spans="1:5" x14ac:dyDescent="0.3">
      <c r="A133" s="74" t="s">
        <v>231</v>
      </c>
    </row>
    <row r="134" spans="1:5" x14ac:dyDescent="0.3">
      <c r="A134" s="65" t="s">
        <v>233</v>
      </c>
    </row>
    <row r="135" spans="1:5" x14ac:dyDescent="0.3">
      <c r="A135" s="65" t="s">
        <v>292</v>
      </c>
    </row>
    <row r="137" spans="1:5" x14ac:dyDescent="0.3">
      <c r="A137" s="64" t="s">
        <v>310</v>
      </c>
    </row>
    <row r="138" spans="1:5" x14ac:dyDescent="0.3">
      <c r="A138" s="65" t="s">
        <v>311</v>
      </c>
    </row>
    <row r="139" spans="1:5" x14ac:dyDescent="0.3">
      <c r="A139" s="65" t="s">
        <v>130</v>
      </c>
    </row>
    <row r="140" spans="1:5" x14ac:dyDescent="0.3">
      <c r="A140" s="65" t="s">
        <v>271</v>
      </c>
    </row>
    <row r="142" spans="1:5" x14ac:dyDescent="0.3">
      <c r="A142" s="64" t="s">
        <v>314</v>
      </c>
    </row>
    <row r="143" spans="1:5" x14ac:dyDescent="0.3">
      <c r="A143" s="65" t="s">
        <v>316</v>
      </c>
    </row>
    <row r="144" spans="1:5" x14ac:dyDescent="0.3">
      <c r="A144" s="65" t="s">
        <v>130</v>
      </c>
      <c r="D144" s="65" t="s">
        <v>625</v>
      </c>
      <c r="E144" s="65" t="s">
        <v>626</v>
      </c>
    </row>
    <row r="145" spans="1:6" x14ac:dyDescent="0.3">
      <c r="A145" s="65" t="s">
        <v>315</v>
      </c>
      <c r="C145" s="65" t="s">
        <v>628</v>
      </c>
      <c r="D145" s="65">
        <f>D146*D147</f>
        <v>0</v>
      </c>
      <c r="E145" s="65">
        <f>E146*E147</f>
        <v>0</v>
      </c>
    </row>
    <row r="146" spans="1:6" x14ac:dyDescent="0.3">
      <c r="C146" s="65" t="s">
        <v>627</v>
      </c>
      <c r="D146" s="65">
        <v>2</v>
      </c>
      <c r="E146" s="65">
        <v>1</v>
      </c>
    </row>
    <row r="147" spans="1:6" x14ac:dyDescent="0.3">
      <c r="A147" s="66" t="s">
        <v>619</v>
      </c>
      <c r="D147" s="65">
        <f>IF('Entry Tab'!B13="Installed",1,0)</f>
        <v>0</v>
      </c>
      <c r="E147" s="65">
        <f>IF('Entry Tab'!B14="Installed",1,0)</f>
        <v>0</v>
      </c>
    </row>
    <row r="148" spans="1:6" x14ac:dyDescent="0.3">
      <c r="A148" s="66" t="s">
        <v>145</v>
      </c>
      <c r="B148" s="66" t="s">
        <v>620</v>
      </c>
      <c r="C148" s="66" t="s">
        <v>621</v>
      </c>
      <c r="D148" s="66" t="s">
        <v>622</v>
      </c>
      <c r="E148" s="66" t="s">
        <v>623</v>
      </c>
      <c r="F148" s="66" t="s">
        <v>624</v>
      </c>
    </row>
    <row r="149" spans="1:6" x14ac:dyDescent="0.3">
      <c r="A149" s="76">
        <v>0</v>
      </c>
      <c r="B149" s="76" t="s">
        <v>130</v>
      </c>
      <c r="C149" s="76" t="s">
        <v>130</v>
      </c>
      <c r="D149" s="65" t="s">
        <v>268</v>
      </c>
      <c r="E149" s="65" t="s">
        <v>268</v>
      </c>
      <c r="F149" s="65" t="s">
        <v>268</v>
      </c>
    </row>
    <row r="150" spans="1:6" x14ac:dyDescent="0.3">
      <c r="A150" s="76">
        <v>1</v>
      </c>
      <c r="B150" s="76" t="s">
        <v>130</v>
      </c>
      <c r="C150" s="69" t="s">
        <v>144</v>
      </c>
      <c r="D150" s="65" t="s">
        <v>268</v>
      </c>
      <c r="E150" s="65" t="s">
        <v>267</v>
      </c>
      <c r="F150" s="65" t="s">
        <v>268</v>
      </c>
    </row>
    <row r="151" spans="1:6" x14ac:dyDescent="0.3">
      <c r="A151" s="76">
        <v>2</v>
      </c>
      <c r="B151" s="76" t="s">
        <v>130</v>
      </c>
      <c r="C151" s="69" t="s">
        <v>264</v>
      </c>
      <c r="D151" s="65" t="s">
        <v>267</v>
      </c>
      <c r="E151" s="65" t="s">
        <v>268</v>
      </c>
      <c r="F151" s="65" t="s">
        <v>268</v>
      </c>
    </row>
    <row r="152" spans="1:6" x14ac:dyDescent="0.3">
      <c r="A152" s="76">
        <v>3</v>
      </c>
      <c r="B152" s="69" t="s">
        <v>144</v>
      </c>
      <c r="C152" s="76" t="s">
        <v>130</v>
      </c>
      <c r="D152" s="65" t="s">
        <v>267</v>
      </c>
      <c r="E152" s="65" t="s">
        <v>267</v>
      </c>
      <c r="F152" s="65" t="s">
        <v>268</v>
      </c>
    </row>
    <row r="153" spans="1:6" x14ac:dyDescent="0.3">
      <c r="A153" s="76">
        <v>4</v>
      </c>
      <c r="B153" s="69" t="s">
        <v>144</v>
      </c>
      <c r="C153" s="69" t="s">
        <v>144</v>
      </c>
      <c r="D153" s="65" t="s">
        <v>268</v>
      </c>
      <c r="E153" s="65" t="s">
        <v>268</v>
      </c>
      <c r="F153" s="65" t="s">
        <v>267</v>
      </c>
    </row>
    <row r="154" spans="1:6" x14ac:dyDescent="0.3">
      <c r="A154" s="76">
        <v>5</v>
      </c>
      <c r="B154" s="69" t="s">
        <v>144</v>
      </c>
      <c r="C154" s="69" t="s">
        <v>264</v>
      </c>
      <c r="D154" s="65" t="s">
        <v>268</v>
      </c>
      <c r="E154" s="65" t="s">
        <v>267</v>
      </c>
      <c r="F154" s="65" t="s">
        <v>267</v>
      </c>
    </row>
    <row r="155" spans="1:6" x14ac:dyDescent="0.3">
      <c r="A155" s="76">
        <v>6</v>
      </c>
      <c r="B155" s="69" t="s">
        <v>264</v>
      </c>
      <c r="C155" s="76" t="s">
        <v>130</v>
      </c>
      <c r="D155" s="65" t="s">
        <v>267</v>
      </c>
      <c r="E155" s="65" t="s">
        <v>268</v>
      </c>
      <c r="F155" s="65" t="s">
        <v>267</v>
      </c>
    </row>
    <row r="156" spans="1:6" x14ac:dyDescent="0.3">
      <c r="A156" s="76">
        <v>7</v>
      </c>
      <c r="B156" s="69" t="s">
        <v>264</v>
      </c>
      <c r="C156" s="69" t="s">
        <v>144</v>
      </c>
      <c r="D156" s="65" t="s">
        <v>267</v>
      </c>
      <c r="E156" s="65" t="s">
        <v>267</v>
      </c>
      <c r="F156" s="65" t="s">
        <v>267</v>
      </c>
    </row>
    <row r="157" spans="1:6" x14ac:dyDescent="0.3">
      <c r="C157" s="69"/>
    </row>
  </sheetData>
  <sheetProtection algorithmName="SHA-512" hashValue="T9OYSXlkmJAlwubPjRx6hOavTZbbrvp0D/t3sZauTjPF5RpDFvlPi1wSnlHhb3YsYRX+U89EIwc4Ky3VRhXXAg==" saltValue="WP3QLbUl+IiMAvS6UtRPUA==" spinCount="100000" sheet="1" objects="1" scenarios="1"/>
  <mergeCells count="1">
    <mergeCell ref="A58:A6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Entry Tab</vt:lpstr>
      <vt:lpstr>View of Connectors</vt:lpstr>
      <vt:lpstr>TDR-94 94D Pinout</vt:lpstr>
      <vt:lpstr>Aircraft L x W</vt:lpstr>
      <vt:lpstr>Update Log</vt:lpstr>
      <vt:lpstr>Dropdowns</vt:lpstr>
      <vt:lpstr>Aircaft_Category_Type</vt:lpstr>
      <vt:lpstr>'TDR-94 94D Pinout'!answers</vt:lpstr>
      <vt:lpstr>Antenna_Dual_Single</vt:lpstr>
      <vt:lpstr>ATS_Dual_Triple</vt:lpstr>
      <vt:lpstr>Controller_Type</vt:lpstr>
      <vt:lpstr>Fed_Int</vt:lpstr>
      <vt:lpstr>GPS_Offset</vt:lpstr>
      <vt:lpstr>High_Speed</vt:lpstr>
      <vt:lpstr>Installed_Not</vt:lpstr>
      <vt:lpstr>Length_Width</vt:lpstr>
      <vt:lpstr>Max_Airspeed</vt:lpstr>
      <vt:lpstr>Pinout_Entry_Range1</vt:lpstr>
      <vt:lpstr>SDI</vt:lpstr>
      <vt:lpstr>Speed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cmahoney</dc:creator>
  <cp:lastModifiedBy>cmahoney</cp:lastModifiedBy>
  <cp:lastPrinted>2016-12-06T22:01:04Z</cp:lastPrinted>
  <dcterms:created xsi:type="dcterms:W3CDTF">2016-11-28T22:40:26Z</dcterms:created>
  <dcterms:modified xsi:type="dcterms:W3CDTF">2017-02-12T00:48:34Z</dcterms:modified>
</cp:coreProperties>
</file>